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8130"/>
  </bookViews>
  <sheets>
    <sheet name="cash flow" sheetId="12" r:id="rId1"/>
    <sheet name="FY 17 plan" sheetId="10" r:id="rId2"/>
    <sheet name="FY 18 plan" sheetId="11" r:id="rId3"/>
    <sheet name="Steve's Cash analysis" sheetId="4" r:id="rId4"/>
  </sheets>
  <externalReferences>
    <externalReference r:id="rId5"/>
  </externalReferences>
  <calcPr calcId="125725" iterate="1" iterateCount="500" iterateDelta="0.01"/>
</workbook>
</file>

<file path=xl/calcChain.xml><?xml version="1.0" encoding="utf-8"?>
<calcChain xmlns="http://schemas.openxmlformats.org/spreadsheetml/2006/main">
  <c r="J21" i="12"/>
  <c r="R29"/>
  <c r="F12" i="4"/>
  <c r="F23"/>
  <c r="L11"/>
  <c r="F22"/>
  <c r="F32"/>
  <c r="F45" s="1"/>
  <c r="F47" s="1"/>
  <c r="F14"/>
  <c r="F7"/>
  <c r="B16" i="12"/>
  <c r="F24" i="4" l="1"/>
  <c r="D20" i="12" l="1"/>
  <c r="C20"/>
  <c r="T27" l="1"/>
  <c r="U27" s="1"/>
  <c r="L19" s="1"/>
  <c r="T26"/>
  <c r="U26" s="1"/>
  <c r="K19" s="1"/>
  <c r="T25"/>
  <c r="U25" s="1"/>
  <c r="J19" s="1"/>
  <c r="T24"/>
  <c r="U24" s="1"/>
  <c r="I19" s="1"/>
  <c r="T23"/>
  <c r="U23" s="1"/>
  <c r="H19" s="1"/>
  <c r="T22"/>
  <c r="U22" s="1"/>
  <c r="G19" s="1"/>
  <c r="T21"/>
  <c r="U21" s="1"/>
  <c r="F19" s="1"/>
  <c r="T20"/>
  <c r="U20" s="1"/>
  <c r="E19" s="1"/>
  <c r="R20"/>
  <c r="R21" s="1"/>
  <c r="R22" s="1"/>
  <c r="R23" s="1"/>
  <c r="R24" s="1"/>
  <c r="R25" s="1"/>
  <c r="R26" s="1"/>
  <c r="R27" s="1"/>
  <c r="T19"/>
  <c r="U19" s="1"/>
  <c r="P29"/>
  <c r="P20"/>
  <c r="C40"/>
  <c r="D40" s="1"/>
  <c r="O39"/>
  <c r="N39"/>
  <c r="M39"/>
  <c r="L39"/>
  <c r="K39"/>
  <c r="J39"/>
  <c r="I39"/>
  <c r="H39"/>
  <c r="G39"/>
  <c r="F39"/>
  <c r="E39"/>
  <c r="D39"/>
  <c r="C39"/>
  <c r="B39"/>
  <c r="E32"/>
  <c r="P32" s="1"/>
  <c r="I31"/>
  <c r="H31"/>
  <c r="C30"/>
  <c r="C34" s="1"/>
  <c r="D34" s="1"/>
  <c r="E34" s="1"/>
  <c r="F34" s="1"/>
  <c r="G34" s="1"/>
  <c r="P21"/>
  <c r="Q21" s="1"/>
  <c r="Q44" s="1"/>
  <c r="C22"/>
  <c r="O18"/>
  <c r="N18"/>
  <c r="M18"/>
  <c r="L18"/>
  <c r="K18"/>
  <c r="J18"/>
  <c r="I18"/>
  <c r="H18"/>
  <c r="G18"/>
  <c r="F18"/>
  <c r="E18"/>
  <c r="D18"/>
  <c r="G11"/>
  <c r="P11" s="1"/>
  <c r="G10"/>
  <c r="P10" s="1"/>
  <c r="D9"/>
  <c r="P9" s="1"/>
  <c r="D8"/>
  <c r="P8" s="1"/>
  <c r="T13"/>
  <c r="U13" s="1"/>
  <c r="T12"/>
  <c r="U12" s="1"/>
  <c r="T11"/>
  <c r="U11" s="1"/>
  <c r="T10"/>
  <c r="U10" s="1"/>
  <c r="T9"/>
  <c r="U9" s="1"/>
  <c r="T8"/>
  <c r="U8" s="1"/>
  <c r="T7"/>
  <c r="U7" s="1"/>
  <c r="T6"/>
  <c r="T5"/>
  <c r="U5" s="1"/>
  <c r="R6"/>
  <c r="R7" s="1"/>
  <c r="R8" s="1"/>
  <c r="R9" s="1"/>
  <c r="R10" s="1"/>
  <c r="R11" s="1"/>
  <c r="R12" s="1"/>
  <c r="R13" s="1"/>
  <c r="T3"/>
  <c r="D19" s="1"/>
  <c r="O4"/>
  <c r="N4"/>
  <c r="M4"/>
  <c r="L4"/>
  <c r="K4"/>
  <c r="J4"/>
  <c r="I4"/>
  <c r="H4"/>
  <c r="G4"/>
  <c r="F4"/>
  <c r="E4"/>
  <c r="D4"/>
  <c r="C4"/>
  <c r="B41" s="1"/>
  <c r="B42" s="1"/>
  <c r="B36"/>
  <c r="B26"/>
  <c r="O132" i="11"/>
  <c r="O131"/>
  <c r="O130"/>
  <c r="N129"/>
  <c r="M129"/>
  <c r="L129"/>
  <c r="K129"/>
  <c r="J129"/>
  <c r="I129"/>
  <c r="H129"/>
  <c r="G129"/>
  <c r="F129"/>
  <c r="E129"/>
  <c r="D129"/>
  <c r="C129"/>
  <c r="O129" s="1"/>
  <c r="N128"/>
  <c r="M128"/>
  <c r="L128"/>
  <c r="K128"/>
  <c r="J128"/>
  <c r="I128"/>
  <c r="H128"/>
  <c r="G128"/>
  <c r="F128"/>
  <c r="E128"/>
  <c r="D128"/>
  <c r="C128"/>
  <c r="O128" s="1"/>
  <c r="O127"/>
  <c r="O125"/>
  <c r="N124"/>
  <c r="M124"/>
  <c r="L124"/>
  <c r="K124"/>
  <c r="J124"/>
  <c r="I124"/>
  <c r="H124"/>
  <c r="G124"/>
  <c r="F124"/>
  <c r="E124"/>
  <c r="D124"/>
  <c r="C124"/>
  <c r="O124" s="1"/>
  <c r="N123"/>
  <c r="M123"/>
  <c r="L123"/>
  <c r="K123"/>
  <c r="J123"/>
  <c r="I123"/>
  <c r="H123"/>
  <c r="G123"/>
  <c r="F123"/>
  <c r="E123"/>
  <c r="D123"/>
  <c r="C123"/>
  <c r="O123" s="1"/>
  <c r="N122"/>
  <c r="M122"/>
  <c r="L122"/>
  <c r="K122"/>
  <c r="J122"/>
  <c r="I122"/>
  <c r="H122"/>
  <c r="G122"/>
  <c r="F122"/>
  <c r="E122"/>
  <c r="D122"/>
  <c r="C122"/>
  <c r="O122" s="1"/>
  <c r="N121"/>
  <c r="M121"/>
  <c r="L121"/>
  <c r="K121"/>
  <c r="J121"/>
  <c r="I121"/>
  <c r="H121"/>
  <c r="G121"/>
  <c r="F121"/>
  <c r="E121"/>
  <c r="D121"/>
  <c r="C121"/>
  <c r="O121" s="1"/>
  <c r="N120"/>
  <c r="M120"/>
  <c r="L120"/>
  <c r="K120"/>
  <c r="J120"/>
  <c r="I120"/>
  <c r="H120"/>
  <c r="G120"/>
  <c r="F120"/>
  <c r="E120"/>
  <c r="D120"/>
  <c r="C120"/>
  <c r="O120" s="1"/>
  <c r="N119"/>
  <c r="M119"/>
  <c r="L119"/>
  <c r="K119"/>
  <c r="J119"/>
  <c r="I119"/>
  <c r="H119"/>
  <c r="G119"/>
  <c r="F119"/>
  <c r="E119"/>
  <c r="D119"/>
  <c r="C119"/>
  <c r="O119" s="1"/>
  <c r="N118"/>
  <c r="M118"/>
  <c r="L118"/>
  <c r="K118"/>
  <c r="J118"/>
  <c r="I118"/>
  <c r="H118"/>
  <c r="G118"/>
  <c r="F118"/>
  <c r="E118"/>
  <c r="D118"/>
  <c r="C118"/>
  <c r="O118" s="1"/>
  <c r="N117"/>
  <c r="M117"/>
  <c r="L117"/>
  <c r="K117"/>
  <c r="J117"/>
  <c r="I117"/>
  <c r="H117"/>
  <c r="G117"/>
  <c r="F117"/>
  <c r="E117"/>
  <c r="D117"/>
  <c r="C117"/>
  <c r="O117" s="1"/>
  <c r="N116"/>
  <c r="M116"/>
  <c r="L116"/>
  <c r="K116"/>
  <c r="J116"/>
  <c r="I116"/>
  <c r="H116"/>
  <c r="G116"/>
  <c r="F116"/>
  <c r="E116"/>
  <c r="D116"/>
  <c r="C116"/>
  <c r="O116" s="1"/>
  <c r="N115"/>
  <c r="M115"/>
  <c r="L115"/>
  <c r="K115"/>
  <c r="J115"/>
  <c r="I115"/>
  <c r="H115"/>
  <c r="G115"/>
  <c r="F115"/>
  <c r="E115"/>
  <c r="D115"/>
  <c r="C115"/>
  <c r="O115" s="1"/>
  <c r="N113"/>
  <c r="M113"/>
  <c r="L113"/>
  <c r="K113"/>
  <c r="J113"/>
  <c r="I113"/>
  <c r="H113"/>
  <c r="G113"/>
  <c r="F113"/>
  <c r="E113"/>
  <c r="D113"/>
  <c r="C113"/>
  <c r="O113" s="1"/>
  <c r="N112"/>
  <c r="M112"/>
  <c r="L112"/>
  <c r="K112"/>
  <c r="J112"/>
  <c r="I112"/>
  <c r="H112"/>
  <c r="G112"/>
  <c r="F112"/>
  <c r="E112"/>
  <c r="D112"/>
  <c r="C112"/>
  <c r="O112" s="1"/>
  <c r="N111"/>
  <c r="M111"/>
  <c r="L111"/>
  <c r="K111"/>
  <c r="J111"/>
  <c r="I111"/>
  <c r="H111"/>
  <c r="G111"/>
  <c r="F111"/>
  <c r="E111"/>
  <c r="D111"/>
  <c r="C111"/>
  <c r="O111" s="1"/>
  <c r="N110"/>
  <c r="M110"/>
  <c r="L110"/>
  <c r="K110"/>
  <c r="J110"/>
  <c r="I110"/>
  <c r="H110"/>
  <c r="G110"/>
  <c r="F110"/>
  <c r="E110"/>
  <c r="D110"/>
  <c r="C110"/>
  <c r="O110" s="1"/>
  <c r="N109"/>
  <c r="M109"/>
  <c r="L109"/>
  <c r="K109"/>
  <c r="J109"/>
  <c r="I109"/>
  <c r="H109"/>
  <c r="G109"/>
  <c r="F109"/>
  <c r="E109"/>
  <c r="D109"/>
  <c r="C109"/>
  <c r="O109" s="1"/>
  <c r="N108"/>
  <c r="M108"/>
  <c r="L108"/>
  <c r="K108"/>
  <c r="J108"/>
  <c r="I108"/>
  <c r="H108"/>
  <c r="G108"/>
  <c r="F108"/>
  <c r="E108"/>
  <c r="D108"/>
  <c r="C108"/>
  <c r="O108" s="1"/>
  <c r="N107"/>
  <c r="M107"/>
  <c r="L107"/>
  <c r="K107"/>
  <c r="J107"/>
  <c r="I107"/>
  <c r="H107"/>
  <c r="G107"/>
  <c r="F107"/>
  <c r="E107"/>
  <c r="D107"/>
  <c r="C107"/>
  <c r="O107" s="1"/>
  <c r="N106"/>
  <c r="M106"/>
  <c r="L106"/>
  <c r="K106"/>
  <c r="J106"/>
  <c r="I106"/>
  <c r="H106"/>
  <c r="G106"/>
  <c r="F106"/>
  <c r="E106"/>
  <c r="D106"/>
  <c r="C106"/>
  <c r="O106" s="1"/>
  <c r="N105"/>
  <c r="M105"/>
  <c r="L105"/>
  <c r="K105"/>
  <c r="J105"/>
  <c r="I105"/>
  <c r="H105"/>
  <c r="G105"/>
  <c r="F105"/>
  <c r="E105"/>
  <c r="D105"/>
  <c r="C105"/>
  <c r="O105" s="1"/>
  <c r="N104"/>
  <c r="M104"/>
  <c r="L104"/>
  <c r="K104"/>
  <c r="J104"/>
  <c r="I104"/>
  <c r="H104"/>
  <c r="G104"/>
  <c r="F104"/>
  <c r="E104"/>
  <c r="D104"/>
  <c r="C104"/>
  <c r="O104" s="1"/>
  <c r="N103"/>
  <c r="M103"/>
  <c r="L103"/>
  <c r="K103"/>
  <c r="J103"/>
  <c r="I103"/>
  <c r="H103"/>
  <c r="G103"/>
  <c r="F103"/>
  <c r="E103"/>
  <c r="D103"/>
  <c r="C103"/>
  <c r="O103" s="1"/>
  <c r="N102"/>
  <c r="M102"/>
  <c r="L102"/>
  <c r="K102"/>
  <c r="J102"/>
  <c r="I102"/>
  <c r="H102"/>
  <c r="G102"/>
  <c r="F102"/>
  <c r="E102"/>
  <c r="D102"/>
  <c r="C102"/>
  <c r="O102" s="1"/>
  <c r="N101"/>
  <c r="M101"/>
  <c r="L101"/>
  <c r="K101"/>
  <c r="J101"/>
  <c r="I101"/>
  <c r="H101"/>
  <c r="G101"/>
  <c r="F101"/>
  <c r="E101"/>
  <c r="D101"/>
  <c r="C101"/>
  <c r="O101" s="1"/>
  <c r="N100"/>
  <c r="M100"/>
  <c r="L100"/>
  <c r="K100"/>
  <c r="J100"/>
  <c r="I100"/>
  <c r="H100"/>
  <c r="G100"/>
  <c r="F100"/>
  <c r="E100"/>
  <c r="D100"/>
  <c r="C100"/>
  <c r="O100" s="1"/>
  <c r="N99"/>
  <c r="M99"/>
  <c r="L99"/>
  <c r="K99"/>
  <c r="J99"/>
  <c r="I99"/>
  <c r="H99"/>
  <c r="G99"/>
  <c r="F99"/>
  <c r="E99"/>
  <c r="D99"/>
  <c r="C99"/>
  <c r="O99" s="1"/>
  <c r="N98"/>
  <c r="M98"/>
  <c r="L98"/>
  <c r="K98"/>
  <c r="J98"/>
  <c r="I98"/>
  <c r="H98"/>
  <c r="G98"/>
  <c r="F98"/>
  <c r="E98"/>
  <c r="D98"/>
  <c r="C98"/>
  <c r="O98" s="1"/>
  <c r="N97"/>
  <c r="M97"/>
  <c r="L97"/>
  <c r="K97"/>
  <c r="J97"/>
  <c r="I97"/>
  <c r="H97"/>
  <c r="G97"/>
  <c r="F97"/>
  <c r="E97"/>
  <c r="D97"/>
  <c r="C97"/>
  <c r="O97" s="1"/>
  <c r="N96"/>
  <c r="M96"/>
  <c r="L96"/>
  <c r="K96"/>
  <c r="J96"/>
  <c r="I96"/>
  <c r="H96"/>
  <c r="G96"/>
  <c r="F96"/>
  <c r="E96"/>
  <c r="D96"/>
  <c r="C96"/>
  <c r="O96" s="1"/>
  <c r="N95"/>
  <c r="M95"/>
  <c r="L95"/>
  <c r="K95"/>
  <c r="J95"/>
  <c r="I95"/>
  <c r="H95"/>
  <c r="G95"/>
  <c r="F95"/>
  <c r="E95"/>
  <c r="D95"/>
  <c r="C95"/>
  <c r="O95" s="1"/>
  <c r="N94"/>
  <c r="M94"/>
  <c r="L94"/>
  <c r="K94"/>
  <c r="J94"/>
  <c r="I94"/>
  <c r="H94"/>
  <c r="G94"/>
  <c r="F94"/>
  <c r="E94"/>
  <c r="D94"/>
  <c r="C94"/>
  <c r="O94" s="1"/>
  <c r="N93"/>
  <c r="M93"/>
  <c r="L93"/>
  <c r="K93"/>
  <c r="J93"/>
  <c r="I93"/>
  <c r="H93"/>
  <c r="G93"/>
  <c r="F93"/>
  <c r="E93"/>
  <c r="D93"/>
  <c r="C93"/>
  <c r="O93" s="1"/>
  <c r="N92"/>
  <c r="M92"/>
  <c r="L92"/>
  <c r="K92"/>
  <c r="J92"/>
  <c r="I92"/>
  <c r="H92"/>
  <c r="G92"/>
  <c r="F92"/>
  <c r="E92"/>
  <c r="D92"/>
  <c r="C92"/>
  <c r="O92" s="1"/>
  <c r="N91"/>
  <c r="M91"/>
  <c r="L91"/>
  <c r="K91"/>
  <c r="J91"/>
  <c r="I91"/>
  <c r="H91"/>
  <c r="G91"/>
  <c r="F91"/>
  <c r="E91"/>
  <c r="D91"/>
  <c r="C91"/>
  <c r="O91" s="1"/>
  <c r="N90"/>
  <c r="M90"/>
  <c r="L90"/>
  <c r="K90"/>
  <c r="J90"/>
  <c r="I90"/>
  <c r="H90"/>
  <c r="G90"/>
  <c r="F90"/>
  <c r="E90"/>
  <c r="D90"/>
  <c r="C90"/>
  <c r="O90" s="1"/>
  <c r="N89"/>
  <c r="M89"/>
  <c r="L89"/>
  <c r="K89"/>
  <c r="J89"/>
  <c r="I89"/>
  <c r="H89"/>
  <c r="G89"/>
  <c r="F89"/>
  <c r="E89"/>
  <c r="D89"/>
  <c r="C89"/>
  <c r="O89" s="1"/>
  <c r="N87"/>
  <c r="M87"/>
  <c r="L87"/>
  <c r="K87"/>
  <c r="J87"/>
  <c r="I87"/>
  <c r="H87"/>
  <c r="G87"/>
  <c r="F87"/>
  <c r="E87"/>
  <c r="D87"/>
  <c r="C87"/>
  <c r="O87" s="1"/>
  <c r="N86"/>
  <c r="M86"/>
  <c r="L86"/>
  <c r="K86"/>
  <c r="J86"/>
  <c r="I86"/>
  <c r="H86"/>
  <c r="G86"/>
  <c r="F86"/>
  <c r="E86"/>
  <c r="D86"/>
  <c r="C86"/>
  <c r="O86" s="1"/>
  <c r="N85"/>
  <c r="M85"/>
  <c r="L85"/>
  <c r="K85"/>
  <c r="J85"/>
  <c r="I85"/>
  <c r="H85"/>
  <c r="G85"/>
  <c r="F85"/>
  <c r="E85"/>
  <c r="D85"/>
  <c r="C85"/>
  <c r="O85" s="1"/>
  <c r="N84"/>
  <c r="M84"/>
  <c r="L84"/>
  <c r="K84"/>
  <c r="J84"/>
  <c r="I84"/>
  <c r="H84"/>
  <c r="G84"/>
  <c r="F84"/>
  <c r="E84"/>
  <c r="D84"/>
  <c r="C84"/>
  <c r="O84" s="1"/>
  <c r="N83"/>
  <c r="M83"/>
  <c r="L83"/>
  <c r="K83"/>
  <c r="J83"/>
  <c r="I83"/>
  <c r="H83"/>
  <c r="G83"/>
  <c r="F83"/>
  <c r="E83"/>
  <c r="D83"/>
  <c r="C83"/>
  <c r="O83" s="1"/>
  <c r="N81"/>
  <c r="M81"/>
  <c r="L81"/>
  <c r="K81"/>
  <c r="J81"/>
  <c r="I81"/>
  <c r="H81"/>
  <c r="G81"/>
  <c r="F81"/>
  <c r="E81"/>
  <c r="D81"/>
  <c r="C81"/>
  <c r="O81" s="1"/>
  <c r="N80"/>
  <c r="M80"/>
  <c r="L80"/>
  <c r="K80"/>
  <c r="J80"/>
  <c r="I80"/>
  <c r="H80"/>
  <c r="G80"/>
  <c r="F80"/>
  <c r="E80"/>
  <c r="D80"/>
  <c r="C80"/>
  <c r="O80" s="1"/>
  <c r="N79"/>
  <c r="M79"/>
  <c r="L79"/>
  <c r="K79"/>
  <c r="J79"/>
  <c r="I79"/>
  <c r="H79"/>
  <c r="G79"/>
  <c r="F79"/>
  <c r="E79"/>
  <c r="D79"/>
  <c r="C79"/>
  <c r="O79" s="1"/>
  <c r="N78"/>
  <c r="M78"/>
  <c r="L78"/>
  <c r="K78"/>
  <c r="J78"/>
  <c r="I78"/>
  <c r="H78"/>
  <c r="G78"/>
  <c r="F78"/>
  <c r="E78"/>
  <c r="D78"/>
  <c r="C78"/>
  <c r="O78" s="1"/>
  <c r="N77"/>
  <c r="M77"/>
  <c r="L77"/>
  <c r="K77"/>
  <c r="J77"/>
  <c r="I77"/>
  <c r="H77"/>
  <c r="G77"/>
  <c r="F77"/>
  <c r="E77"/>
  <c r="D77"/>
  <c r="C77"/>
  <c r="O77" s="1"/>
  <c r="N76"/>
  <c r="M76"/>
  <c r="L76"/>
  <c r="K76"/>
  <c r="J76"/>
  <c r="I76"/>
  <c r="H76"/>
  <c r="G76"/>
  <c r="F76"/>
  <c r="E76"/>
  <c r="D76"/>
  <c r="C76"/>
  <c r="O76" s="1"/>
  <c r="N75"/>
  <c r="M75"/>
  <c r="L75"/>
  <c r="K75"/>
  <c r="J75"/>
  <c r="I75"/>
  <c r="H75"/>
  <c r="G75"/>
  <c r="F75"/>
  <c r="E75"/>
  <c r="D75"/>
  <c r="C75"/>
  <c r="O75" s="1"/>
  <c r="N74"/>
  <c r="M74"/>
  <c r="L74"/>
  <c r="K74"/>
  <c r="J74"/>
  <c r="I74"/>
  <c r="H74"/>
  <c r="G74"/>
  <c r="F74"/>
  <c r="E74"/>
  <c r="D74"/>
  <c r="C74"/>
  <c r="O74" s="1"/>
  <c r="N73"/>
  <c r="M73"/>
  <c r="L73"/>
  <c r="K73"/>
  <c r="J73"/>
  <c r="I73"/>
  <c r="H73"/>
  <c r="G73"/>
  <c r="F73"/>
  <c r="E73"/>
  <c r="D73"/>
  <c r="C73"/>
  <c r="O73" s="1"/>
  <c r="N72"/>
  <c r="M72"/>
  <c r="L72"/>
  <c r="K72"/>
  <c r="J72"/>
  <c r="I72"/>
  <c r="H72"/>
  <c r="G72"/>
  <c r="F72"/>
  <c r="E72"/>
  <c r="D72"/>
  <c r="C72"/>
  <c r="O72" s="1"/>
  <c r="N71"/>
  <c r="M71"/>
  <c r="L71"/>
  <c r="K71"/>
  <c r="J71"/>
  <c r="I71"/>
  <c r="H71"/>
  <c r="G71"/>
  <c r="F71"/>
  <c r="E71"/>
  <c r="D71"/>
  <c r="C71"/>
  <c r="O71" s="1"/>
  <c r="N70"/>
  <c r="M70"/>
  <c r="L70"/>
  <c r="K70"/>
  <c r="J70"/>
  <c r="I70"/>
  <c r="H70"/>
  <c r="G70"/>
  <c r="F70"/>
  <c r="E70"/>
  <c r="D70"/>
  <c r="C70"/>
  <c r="O70" s="1"/>
  <c r="N69"/>
  <c r="M69"/>
  <c r="L69"/>
  <c r="K69"/>
  <c r="J69"/>
  <c r="I69"/>
  <c r="H69"/>
  <c r="G69"/>
  <c r="F69"/>
  <c r="E69"/>
  <c r="D69"/>
  <c r="C69"/>
  <c r="O69" s="1"/>
  <c r="N68"/>
  <c r="M68"/>
  <c r="L68"/>
  <c r="K68"/>
  <c r="J68"/>
  <c r="I68"/>
  <c r="H68"/>
  <c r="G68"/>
  <c r="F68"/>
  <c r="E68"/>
  <c r="D68"/>
  <c r="C68"/>
  <c r="O68" s="1"/>
  <c r="N67"/>
  <c r="M67"/>
  <c r="L67"/>
  <c r="K67"/>
  <c r="J67"/>
  <c r="I67"/>
  <c r="H67"/>
  <c r="G67"/>
  <c r="F67"/>
  <c r="E67"/>
  <c r="D67"/>
  <c r="C67"/>
  <c r="O67" s="1"/>
  <c r="O66"/>
  <c r="O65"/>
  <c r="N63"/>
  <c r="M63"/>
  <c r="L63"/>
  <c r="K63"/>
  <c r="J63"/>
  <c r="I63"/>
  <c r="H63"/>
  <c r="G63"/>
  <c r="F63"/>
  <c r="E63"/>
  <c r="D63"/>
  <c r="C63"/>
  <c r="O63" s="1"/>
  <c r="N62"/>
  <c r="M62"/>
  <c r="L62"/>
  <c r="K62"/>
  <c r="J62"/>
  <c r="I62"/>
  <c r="H62"/>
  <c r="G62"/>
  <c r="F62"/>
  <c r="E62"/>
  <c r="D62"/>
  <c r="C62"/>
  <c r="O62" s="1"/>
  <c r="N61"/>
  <c r="M61"/>
  <c r="L61"/>
  <c r="K61"/>
  <c r="J61"/>
  <c r="I61"/>
  <c r="H61"/>
  <c r="G61"/>
  <c r="F61"/>
  <c r="E61"/>
  <c r="D61"/>
  <c r="C61"/>
  <c r="O61" s="1"/>
  <c r="N60"/>
  <c r="M60"/>
  <c r="L60"/>
  <c r="K60"/>
  <c r="J60"/>
  <c r="I60"/>
  <c r="H60"/>
  <c r="G60"/>
  <c r="F60"/>
  <c r="E60"/>
  <c r="D60"/>
  <c r="C60"/>
  <c r="O60" s="1"/>
  <c r="N58"/>
  <c r="M58"/>
  <c r="L58"/>
  <c r="K58"/>
  <c r="J58"/>
  <c r="I58"/>
  <c r="H58"/>
  <c r="G58"/>
  <c r="F58"/>
  <c r="E58"/>
  <c r="D58"/>
  <c r="C58"/>
  <c r="O58" s="1"/>
  <c r="N57"/>
  <c r="M57"/>
  <c r="L57"/>
  <c r="K57"/>
  <c r="J57"/>
  <c r="I57"/>
  <c r="H57"/>
  <c r="G57"/>
  <c r="F57"/>
  <c r="E57"/>
  <c r="D57"/>
  <c r="C57"/>
  <c r="O57" s="1"/>
  <c r="O55"/>
  <c r="N54"/>
  <c r="M54"/>
  <c r="L54"/>
  <c r="K54"/>
  <c r="J54"/>
  <c r="I54"/>
  <c r="H54"/>
  <c r="G54"/>
  <c r="F54"/>
  <c r="E54"/>
  <c r="D54"/>
  <c r="C54"/>
  <c r="O54" s="1"/>
  <c r="N52"/>
  <c r="M52"/>
  <c r="L52"/>
  <c r="K52"/>
  <c r="J52"/>
  <c r="I52"/>
  <c r="H52"/>
  <c r="G52"/>
  <c r="F52"/>
  <c r="E52"/>
  <c r="D52"/>
  <c r="C52"/>
  <c r="O52" s="1"/>
  <c r="N50"/>
  <c r="M50"/>
  <c r="L50"/>
  <c r="K50"/>
  <c r="J50"/>
  <c r="I50"/>
  <c r="H50"/>
  <c r="G50"/>
  <c r="F50"/>
  <c r="E50"/>
  <c r="D50"/>
  <c r="C50"/>
  <c r="O50" s="1"/>
  <c r="N49"/>
  <c r="M49"/>
  <c r="L49"/>
  <c r="K49"/>
  <c r="J49"/>
  <c r="I49"/>
  <c r="H49"/>
  <c r="G49"/>
  <c r="F49"/>
  <c r="E49"/>
  <c r="D49"/>
  <c r="C49"/>
  <c r="O49" s="1"/>
  <c r="N48"/>
  <c r="M48"/>
  <c r="L48"/>
  <c r="K48"/>
  <c r="J48"/>
  <c r="I48"/>
  <c r="H48"/>
  <c r="G48"/>
  <c r="F48"/>
  <c r="E48"/>
  <c r="D48"/>
  <c r="C48"/>
  <c r="O48" s="1"/>
  <c r="N47"/>
  <c r="M47"/>
  <c r="L47"/>
  <c r="K47"/>
  <c r="J47"/>
  <c r="I47"/>
  <c r="H47"/>
  <c r="G47"/>
  <c r="F47"/>
  <c r="E47"/>
  <c r="D47"/>
  <c r="C47"/>
  <c r="O47" s="1"/>
  <c r="N45"/>
  <c r="M45"/>
  <c r="L45"/>
  <c r="K45"/>
  <c r="J45"/>
  <c r="I45"/>
  <c r="H45"/>
  <c r="G45"/>
  <c r="F45"/>
  <c r="E45"/>
  <c r="D45"/>
  <c r="C45"/>
  <c r="O45" s="1"/>
  <c r="N44"/>
  <c r="M44"/>
  <c r="L44"/>
  <c r="K44"/>
  <c r="J44"/>
  <c r="I44"/>
  <c r="H44"/>
  <c r="G44"/>
  <c r="F44"/>
  <c r="E44"/>
  <c r="D44"/>
  <c r="C44"/>
  <c r="O44" s="1"/>
  <c r="N42"/>
  <c r="M42"/>
  <c r="L42"/>
  <c r="K42"/>
  <c r="J42"/>
  <c r="I42"/>
  <c r="H42"/>
  <c r="G42"/>
  <c r="F42"/>
  <c r="E42"/>
  <c r="D42"/>
  <c r="C42"/>
  <c r="O42" s="1"/>
  <c r="O40"/>
  <c r="O39"/>
  <c r="N38"/>
  <c r="M38"/>
  <c r="L38"/>
  <c r="K38"/>
  <c r="J38"/>
  <c r="I38"/>
  <c r="H38"/>
  <c r="G38"/>
  <c r="F38"/>
  <c r="E38"/>
  <c r="D38"/>
  <c r="C38"/>
  <c r="O38" s="1"/>
  <c r="N36"/>
  <c r="M36"/>
  <c r="L36"/>
  <c r="K36"/>
  <c r="J36"/>
  <c r="I36"/>
  <c r="H36"/>
  <c r="G36"/>
  <c r="F36"/>
  <c r="E36"/>
  <c r="D36"/>
  <c r="C36"/>
  <c r="O36" s="1"/>
  <c r="O35"/>
  <c r="N34"/>
  <c r="M34"/>
  <c r="L34"/>
  <c r="K34"/>
  <c r="J34"/>
  <c r="I34"/>
  <c r="H34"/>
  <c r="G34"/>
  <c r="F34"/>
  <c r="E34"/>
  <c r="D34"/>
  <c r="C34"/>
  <c r="O34" s="1"/>
  <c r="N33"/>
  <c r="M33"/>
  <c r="L33"/>
  <c r="K33"/>
  <c r="J33"/>
  <c r="I33"/>
  <c r="H33"/>
  <c r="G33"/>
  <c r="F33"/>
  <c r="E33"/>
  <c r="D33"/>
  <c r="C33"/>
  <c r="O33" s="1"/>
  <c r="N32"/>
  <c r="M32"/>
  <c r="L32"/>
  <c r="K32"/>
  <c r="J32"/>
  <c r="I32"/>
  <c r="H32"/>
  <c r="G32"/>
  <c r="F32"/>
  <c r="E32"/>
  <c r="D32"/>
  <c r="C32"/>
  <c r="O32" s="1"/>
  <c r="O31"/>
  <c r="N30"/>
  <c r="M30"/>
  <c r="L30"/>
  <c r="K30"/>
  <c r="J30"/>
  <c r="I30"/>
  <c r="H30"/>
  <c r="G30"/>
  <c r="F30"/>
  <c r="E30"/>
  <c r="D30"/>
  <c r="C30"/>
  <c r="O30" s="1"/>
  <c r="O29"/>
  <c r="O28"/>
  <c r="N27"/>
  <c r="M27"/>
  <c r="L27"/>
  <c r="K27"/>
  <c r="J27"/>
  <c r="I27"/>
  <c r="H27"/>
  <c r="G27"/>
  <c r="F27"/>
  <c r="E27"/>
  <c r="D27"/>
  <c r="C27"/>
  <c r="O27" s="1"/>
  <c r="N26"/>
  <c r="M26"/>
  <c r="L26"/>
  <c r="K26"/>
  <c r="J26"/>
  <c r="I26"/>
  <c r="H26"/>
  <c r="G26"/>
  <c r="F26"/>
  <c r="E26"/>
  <c r="D26"/>
  <c r="C26"/>
  <c r="O26" s="1"/>
  <c r="O25"/>
  <c r="O24"/>
  <c r="N23"/>
  <c r="M23"/>
  <c r="L23"/>
  <c r="K23"/>
  <c r="J23"/>
  <c r="I23"/>
  <c r="H23"/>
  <c r="G23"/>
  <c r="F23"/>
  <c r="E23"/>
  <c r="D23"/>
  <c r="C23"/>
  <c r="O23" s="1"/>
  <c r="N22"/>
  <c r="M22"/>
  <c r="L22"/>
  <c r="K22"/>
  <c r="J22"/>
  <c r="I22"/>
  <c r="H22"/>
  <c r="G22"/>
  <c r="F22"/>
  <c r="E22"/>
  <c r="D22"/>
  <c r="C22"/>
  <c r="O22" s="1"/>
  <c r="N21"/>
  <c r="M21"/>
  <c r="L21"/>
  <c r="K21"/>
  <c r="J21"/>
  <c r="I21"/>
  <c r="H21"/>
  <c r="G21"/>
  <c r="F21"/>
  <c r="E21"/>
  <c r="D21"/>
  <c r="C21"/>
  <c r="O21" s="1"/>
  <c r="N20"/>
  <c r="M20"/>
  <c r="L20"/>
  <c r="K20"/>
  <c r="J20"/>
  <c r="I20"/>
  <c r="H20"/>
  <c r="G20"/>
  <c r="F20"/>
  <c r="E20"/>
  <c r="D20"/>
  <c r="C20"/>
  <c r="O20" s="1"/>
  <c r="D18"/>
  <c r="D133" s="1"/>
  <c r="C18"/>
  <c r="N15"/>
  <c r="M15"/>
  <c r="L15"/>
  <c r="K15"/>
  <c r="J15"/>
  <c r="I15"/>
  <c r="H15"/>
  <c r="G15"/>
  <c r="F15"/>
  <c r="E15"/>
  <c r="D15"/>
  <c r="C15"/>
  <c r="O15" s="1"/>
  <c r="O14"/>
  <c r="O13"/>
  <c r="O12"/>
  <c r="O11"/>
  <c r="D6"/>
  <c r="E6" s="1"/>
  <c r="F6" s="1"/>
  <c r="G6" s="1"/>
  <c r="H6" s="1"/>
  <c r="N124" i="10"/>
  <c r="M124"/>
  <c r="L124"/>
  <c r="K124"/>
  <c r="J124"/>
  <c r="I124"/>
  <c r="H124"/>
  <c r="G124"/>
  <c r="F124"/>
  <c r="E124"/>
  <c r="D124"/>
  <c r="C124"/>
  <c r="O124" s="1"/>
  <c r="N15"/>
  <c r="M15"/>
  <c r="L15"/>
  <c r="K15"/>
  <c r="J15"/>
  <c r="I15"/>
  <c r="H15"/>
  <c r="G15"/>
  <c r="F15"/>
  <c r="E15"/>
  <c r="D15"/>
  <c r="C15"/>
  <c r="E6"/>
  <c r="F6" s="1"/>
  <c r="G6" s="1"/>
  <c r="H6" s="1"/>
  <c r="D6"/>
  <c r="E23" i="4"/>
  <c r="U51"/>
  <c r="T51"/>
  <c r="T52" s="1"/>
  <c r="T50"/>
  <c r="W41"/>
  <c r="V41"/>
  <c r="W35"/>
  <c r="V35"/>
  <c r="W34"/>
  <c r="V34"/>
  <c r="W32"/>
  <c r="V32"/>
  <c r="W27"/>
  <c r="V27"/>
  <c r="W25"/>
  <c r="V25"/>
  <c r="W24"/>
  <c r="W51" s="1"/>
  <c r="V24"/>
  <c r="V51" s="1"/>
  <c r="K11"/>
  <c r="E45"/>
  <c r="E47" s="1"/>
  <c r="E32"/>
  <c r="E21"/>
  <c r="E22" s="1"/>
  <c r="E14"/>
  <c r="E12"/>
  <c r="E7"/>
  <c r="D41" i="12" l="1"/>
  <c r="E41" s="1"/>
  <c r="F41" s="1"/>
  <c r="G41" s="1"/>
  <c r="H41" s="1"/>
  <c r="I41" s="1"/>
  <c r="J41" s="1"/>
  <c r="K41" s="1"/>
  <c r="L41" s="1"/>
  <c r="M41" s="1"/>
  <c r="N41" s="1"/>
  <c r="O41" s="1"/>
  <c r="E40"/>
  <c r="F40" s="1"/>
  <c r="G40" s="1"/>
  <c r="H40" s="1"/>
  <c r="I40" s="1"/>
  <c r="J40" s="1"/>
  <c r="K40" s="1"/>
  <c r="L40" s="1"/>
  <c r="M40" s="1"/>
  <c r="N40" s="1"/>
  <c r="O40" s="1"/>
  <c r="P31"/>
  <c r="P18"/>
  <c r="T28"/>
  <c r="P30"/>
  <c r="P19"/>
  <c r="D22"/>
  <c r="E22" s="1"/>
  <c r="F22" s="1"/>
  <c r="G22" s="1"/>
  <c r="H22" s="1"/>
  <c r="I22" s="1"/>
  <c r="J22" s="1"/>
  <c r="K22" s="1"/>
  <c r="L22" s="1"/>
  <c r="M22" s="1"/>
  <c r="N22" s="1"/>
  <c r="O22" s="1"/>
  <c r="U28"/>
  <c r="H34"/>
  <c r="I34" s="1"/>
  <c r="J34" s="1"/>
  <c r="K34" s="1"/>
  <c r="L34" s="1"/>
  <c r="M34" s="1"/>
  <c r="N34" s="1"/>
  <c r="O34" s="1"/>
  <c r="C2"/>
  <c r="C16" s="1"/>
  <c r="T14"/>
  <c r="U6"/>
  <c r="U14" s="1"/>
  <c r="C6"/>
  <c r="C12" s="1"/>
  <c r="C36" s="1"/>
  <c r="C42" s="1"/>
  <c r="F5"/>
  <c r="J5"/>
  <c r="K5"/>
  <c r="I5"/>
  <c r="P4"/>
  <c r="Q4" s="1"/>
  <c r="D5"/>
  <c r="H5"/>
  <c r="L5"/>
  <c r="G5"/>
  <c r="C133" i="11"/>
  <c r="E18"/>
  <c r="E24" i="4"/>
  <c r="D21"/>
  <c r="D22" s="1"/>
  <c r="D6" i="12" l="1"/>
  <c r="D12" s="1"/>
  <c r="D36" s="1"/>
  <c r="D42" s="1"/>
  <c r="D2"/>
  <c r="D16" s="1"/>
  <c r="C26"/>
  <c r="E5"/>
  <c r="E133" i="11"/>
  <c r="F18"/>
  <c r="E6" i="12" l="1"/>
  <c r="E12" s="1"/>
  <c r="P5"/>
  <c r="Q5" s="1"/>
  <c r="E2"/>
  <c r="E16" s="1"/>
  <c r="D26"/>
  <c r="F133" i="11"/>
  <c r="G18"/>
  <c r="F6" i="12" l="1"/>
  <c r="F12" s="1"/>
  <c r="E36"/>
  <c r="E42" s="1"/>
  <c r="F2"/>
  <c r="F16" s="1"/>
  <c r="E26"/>
  <c r="H18" i="11"/>
  <c r="G133"/>
  <c r="I11" i="4"/>
  <c r="Q3"/>
  <c r="P3"/>
  <c r="O3"/>
  <c r="J11" s="1"/>
  <c r="D23" s="1"/>
  <c r="N3"/>
  <c r="D45"/>
  <c r="D47" s="1"/>
  <c r="D32"/>
  <c r="D14"/>
  <c r="D12"/>
  <c r="D7"/>
  <c r="Q51"/>
  <c r="P51"/>
  <c r="Q41"/>
  <c r="P41"/>
  <c r="Q35"/>
  <c r="P35"/>
  <c r="Q34"/>
  <c r="P34"/>
  <c r="Q32"/>
  <c r="P32"/>
  <c r="Q27"/>
  <c r="P27"/>
  <c r="Q25"/>
  <c r="P25"/>
  <c r="Q24"/>
  <c r="P24"/>
  <c r="O51"/>
  <c r="N51" s="1"/>
  <c r="G6" i="12" l="1"/>
  <c r="G12" s="1"/>
  <c r="F36"/>
  <c r="F42" s="1"/>
  <c r="G2"/>
  <c r="G16" s="1"/>
  <c r="F26"/>
  <c r="H133" i="11"/>
  <c r="I18"/>
  <c r="D24" i="4"/>
  <c r="N50"/>
  <c r="N52" s="1"/>
  <c r="H6" i="12" l="1"/>
  <c r="H12" s="1"/>
  <c r="G36"/>
  <c r="G42" s="1"/>
  <c r="H2"/>
  <c r="H16" s="1"/>
  <c r="G26"/>
  <c r="I133" i="11"/>
  <c r="J18"/>
  <c r="C23" i="4"/>
  <c r="C32"/>
  <c r="C45" s="1"/>
  <c r="C47" s="1"/>
  <c r="C14"/>
  <c r="C12"/>
  <c r="C7"/>
  <c r="I51"/>
  <c r="H51" s="1"/>
  <c r="H50"/>
  <c r="B32"/>
  <c r="B45" s="1"/>
  <c r="B47" s="1"/>
  <c r="B14"/>
  <c r="B12"/>
  <c r="H11"/>
  <c r="B4"/>
  <c r="B7" s="1"/>
  <c r="I6" i="12" l="1"/>
  <c r="I12" s="1"/>
  <c r="H36"/>
  <c r="H42" s="1"/>
  <c r="I2"/>
  <c r="I16" s="1"/>
  <c r="H26"/>
  <c r="J133" i="11"/>
  <c r="K18"/>
  <c r="H52" i="4"/>
  <c r="C22"/>
  <c r="B22"/>
  <c r="J6" i="12" l="1"/>
  <c r="J12" s="1"/>
  <c r="I36"/>
  <c r="I42" s="1"/>
  <c r="J2"/>
  <c r="J16" s="1"/>
  <c r="I26"/>
  <c r="L18" i="11"/>
  <c r="K133"/>
  <c r="B23" i="4"/>
  <c r="B24" s="1"/>
  <c r="C24"/>
  <c r="K6" i="12" l="1"/>
  <c r="K12" s="1"/>
  <c r="J36"/>
  <c r="J42" s="1"/>
  <c r="K2"/>
  <c r="K16" s="1"/>
  <c r="J26"/>
  <c r="L133" i="11"/>
  <c r="M18"/>
  <c r="L6" i="12" l="1"/>
  <c r="L12" s="1"/>
  <c r="K36"/>
  <c r="K42" s="1"/>
  <c r="L2"/>
  <c r="L16" s="1"/>
  <c r="K26"/>
  <c r="M133" i="11"/>
  <c r="N18"/>
  <c r="M6" i="12" l="1"/>
  <c r="M12" s="1"/>
  <c r="L36"/>
  <c r="L42" s="1"/>
  <c r="M2"/>
  <c r="M16" s="1"/>
  <c r="L26"/>
  <c r="N133" i="11"/>
  <c r="O133" s="1"/>
  <c r="O18"/>
  <c r="N6" i="12" l="1"/>
  <c r="N12" s="1"/>
  <c r="M36"/>
  <c r="M42" s="1"/>
  <c r="N2"/>
  <c r="N16" s="1"/>
  <c r="M26"/>
  <c r="O6" l="1"/>
  <c r="O12" s="1"/>
  <c r="O36" s="1"/>
  <c r="O42" s="1"/>
  <c r="N36"/>
  <c r="N42" s="1"/>
  <c r="O2"/>
  <c r="N26"/>
  <c r="O26" l="1"/>
  <c r="O16"/>
</calcChain>
</file>

<file path=xl/sharedStrings.xml><?xml version="1.0" encoding="utf-8"?>
<sst xmlns="http://schemas.openxmlformats.org/spreadsheetml/2006/main" count="467" uniqueCount="257">
  <si>
    <t>Lighting Upgrade</t>
  </si>
  <si>
    <t>Subtotal</t>
  </si>
  <si>
    <t>Seawall Stabilization</t>
  </si>
  <si>
    <t>HVAC - condensor &amp; air handler replace (5)</t>
  </si>
  <si>
    <t>Dockers</t>
  </si>
  <si>
    <t>Cost</t>
  </si>
  <si>
    <t>Wolf Creek Park canopy</t>
  </si>
  <si>
    <t>Remove palms/pines</t>
  </si>
  <si>
    <t>Cul-de-sacs/Mirabay Club</t>
  </si>
  <si>
    <t>Crown of Thorn replacement</t>
  </si>
  <si>
    <t>US 41 berm/palm replacements</t>
  </si>
  <si>
    <t>Outfitters Tiki Bar Conversion</t>
  </si>
  <si>
    <t>Fitness center painting</t>
  </si>
  <si>
    <t>Pool bathrooms</t>
  </si>
  <si>
    <t>4/30/17 financial statements</t>
  </si>
  <si>
    <t>General Fund</t>
  </si>
  <si>
    <t>Capital Projects Fund</t>
  </si>
  <si>
    <t>Total fund Equity and other credits</t>
  </si>
  <si>
    <t>Upland Claims projected*</t>
  </si>
  <si>
    <t>Excess Revenue received over budget</t>
  </si>
  <si>
    <t>Excess Expense over budget</t>
  </si>
  <si>
    <t>Estimated General Fund Balance October 1</t>
  </si>
  <si>
    <t>Usage of Funds not budgeted</t>
  </si>
  <si>
    <t>Oak tree project*</t>
  </si>
  <si>
    <t>Reserve Fund</t>
  </si>
  <si>
    <t>2017/2018 contibution</t>
  </si>
  <si>
    <t>Batting Cage</t>
  </si>
  <si>
    <t>Items in subtotal that should have been repaired</t>
  </si>
  <si>
    <t>Rest Room Renovations (2016)</t>
  </si>
  <si>
    <t>Asphalt Pavement Maintenance (2015)</t>
  </si>
  <si>
    <t>Wood Doors (2015)</t>
  </si>
  <si>
    <t>Pool Furniture Replacement (2016)</t>
  </si>
  <si>
    <t>Furniture (2015)</t>
  </si>
  <si>
    <t>Tiki Hut replacement (2015)</t>
  </si>
  <si>
    <t>Walls, Paint Finish (2015)</t>
  </si>
  <si>
    <t>Pressure Washing</t>
  </si>
  <si>
    <t>Pool and Spa Finish (2015)</t>
  </si>
  <si>
    <t>Reserve Analysis update (2016)</t>
  </si>
  <si>
    <t>Kitchen Equipment (2015)</t>
  </si>
  <si>
    <t>Pool furniture (2016)</t>
  </si>
  <si>
    <t>Tiki Huts (2015)</t>
  </si>
  <si>
    <t>Reserve Fund Study adjusted balance</t>
  </si>
  <si>
    <t>Reserve fund study projected Year End Reserves</t>
  </si>
  <si>
    <t>Amount Needed</t>
  </si>
  <si>
    <t>Sub total</t>
  </si>
  <si>
    <t>Less items already in reserve fund</t>
  </si>
  <si>
    <t>Minimum working capital</t>
  </si>
  <si>
    <t>Repair pool slide, tower, and stairs *</t>
  </si>
  <si>
    <t>Projected 9/30/2017 balance</t>
  </si>
  <si>
    <t>Refinish pool ($222,134-$129,642) (reserve fund)</t>
  </si>
  <si>
    <t>* Source is page 194 of 6/15/agenda</t>
  </si>
  <si>
    <t>Amount in reserve fund</t>
  </si>
  <si>
    <t>Sub total remaining balance</t>
  </si>
  <si>
    <t>?????</t>
  </si>
  <si>
    <t>Asphalt Pavement Maintenance 2 (2021)</t>
  </si>
  <si>
    <t xml:space="preserve"> </t>
  </si>
  <si>
    <t>Painting walls monuments</t>
  </si>
  <si>
    <t>Fountains (2014 and 2017)</t>
  </si>
  <si>
    <t>Reserve fund analysis (2016)</t>
  </si>
  <si>
    <t>New Gym Equipment (2020) WTS)</t>
  </si>
  <si>
    <t>Kitchen Equipment (2015) (WTS)</t>
  </si>
  <si>
    <t>Pickle Ball court (WTS)</t>
  </si>
  <si>
    <t>Poolside Services (WTS)</t>
  </si>
  <si>
    <t>Pocket Park 1 (landing Park) (WTS)</t>
  </si>
  <si>
    <t>Pocket Park 2 (landing Park) (WTS)</t>
  </si>
  <si>
    <t>May statements</t>
  </si>
  <si>
    <t>Complete landscaping</t>
  </si>
  <si>
    <t>* Source is page 68 July 13 agenda</t>
  </si>
  <si>
    <t>Cardno project management fee</t>
  </si>
  <si>
    <t>Contingency</t>
  </si>
  <si>
    <t>Proposed Increase in 2017/2018 Field operating budget</t>
  </si>
  <si>
    <t>Net balance available for non listed items</t>
  </si>
  <si>
    <t>$173,278 change in balance in May. How much for June through September?</t>
  </si>
  <si>
    <t xml:space="preserve">Unfunded reserve fund, capital projects and unfunded projects </t>
  </si>
  <si>
    <t>Clubhouse ($220,000-$74,460  furniture and paint)</t>
  </si>
  <si>
    <t>06/15 meeting Unfunded Projects*</t>
  </si>
  <si>
    <t>07/13 meeting Unfunded Projects**</t>
  </si>
  <si>
    <t>** Source is page 70 of 7/13/agenda</t>
  </si>
  <si>
    <t xml:space="preserve">Rest Room Renovations (2016) </t>
  </si>
  <si>
    <t>Proposed jobs</t>
  </si>
  <si>
    <t>* Source is page 194 of 6/15/agenda May source page 22 of 7/13 agenda packet.   Brightview bid</t>
  </si>
  <si>
    <t>Exercise Equipment (2020) (memo only, not included in total)</t>
  </si>
  <si>
    <t>(the field budget is $208,122 higher than this year's projected actuals)</t>
  </si>
  <si>
    <t>June statements</t>
  </si>
  <si>
    <t>July -Sept</t>
  </si>
  <si>
    <t>June-Sept</t>
  </si>
  <si>
    <t>Aug-Sept</t>
  </si>
  <si>
    <t>September</t>
  </si>
  <si>
    <t>April statements</t>
  </si>
  <si>
    <t>2018 Legal fees*</t>
  </si>
  <si>
    <t>Langan and legal fees for period list in 2017</t>
  </si>
  <si>
    <t>2018 Langan/engineering fees*</t>
  </si>
  <si>
    <t>Payments for projects listed above</t>
  </si>
  <si>
    <t>July statements</t>
  </si>
  <si>
    <t>Budgeted expense remaining through Sept 30</t>
  </si>
  <si>
    <t>08/20 meeting Unfunded Projects**</t>
  </si>
  <si>
    <t>Chart of Accounts Classification</t>
  </si>
  <si>
    <t>0001</t>
  </si>
  <si>
    <t xml:space="preserve">          Interest Earnings</t>
  </si>
  <si>
    <t xml:space="preserve">     Special Assessments</t>
  </si>
  <si>
    <t xml:space="preserve">          Assessments (Tax Roll)</t>
  </si>
  <si>
    <t xml:space="preserve">          Street Light Assessments</t>
  </si>
  <si>
    <t xml:space="preserve">          Off Tax Roll Assessments</t>
  </si>
  <si>
    <t xml:space="preserve">          Other Miscellaneous Revenues</t>
  </si>
  <si>
    <t>Total Revenues</t>
  </si>
  <si>
    <t>Expenditures</t>
  </si>
  <si>
    <t xml:space="preserve">     Legislative</t>
  </si>
  <si>
    <t xml:space="preserve">          Supervisor Fees</t>
  </si>
  <si>
    <t xml:space="preserve">     Financial &amp; Administrative</t>
  </si>
  <si>
    <t xml:space="preserve">          Admin Services</t>
  </si>
  <si>
    <t xml:space="preserve">          District Management</t>
  </si>
  <si>
    <t xml:space="preserve">          District Engineer</t>
  </si>
  <si>
    <t xml:space="preserve">          Disclosure Report</t>
  </si>
  <si>
    <t xml:space="preserve">          Trustees Fees </t>
  </si>
  <si>
    <t xml:space="preserve">          Financial &amp; Revenue Collections</t>
  </si>
  <si>
    <t xml:space="preserve">          Accounting Services</t>
  </si>
  <si>
    <t xml:space="preserve">          Auditing Services</t>
  </si>
  <si>
    <t xml:space="preserve">          Arbitrage Rebate Calculation</t>
  </si>
  <si>
    <t xml:space="preserve">          Public Officials Liability Insurance</t>
  </si>
  <si>
    <t xml:space="preserve">          Legal Advertising</t>
  </si>
  <si>
    <t xml:space="preserve">          Dues, Licenses &amp; Fees</t>
  </si>
  <si>
    <t xml:space="preserve">          Property Taxes</t>
  </si>
  <si>
    <t xml:space="preserve">          Website</t>
  </si>
  <si>
    <t xml:space="preserve">     Legal Counsel</t>
  </si>
  <si>
    <t xml:space="preserve">          District Counsel</t>
  </si>
  <si>
    <t xml:space="preserve">                    Litigation - Unjust Enrichment</t>
  </si>
  <si>
    <t xml:space="preserve">                    Litigation - Seawall Stabilzation</t>
  </si>
  <si>
    <t xml:space="preserve">     Special Legal Services </t>
  </si>
  <si>
    <t xml:space="preserve">          Litigation Services </t>
  </si>
  <si>
    <t xml:space="preserve">     Security Operations</t>
  </si>
  <si>
    <t xml:space="preserve">          Security Staff / FHP</t>
  </si>
  <si>
    <t xml:space="preserve">         Security Operations (Leased Operations) </t>
  </si>
  <si>
    <t xml:space="preserve">     Electric Utility Services</t>
  </si>
  <si>
    <t xml:space="preserve">          Street Lights </t>
  </si>
  <si>
    <t xml:space="preserve">          Irrigation Electric </t>
  </si>
  <si>
    <t xml:space="preserve">          Guard House &amp; Gate Electric </t>
  </si>
  <si>
    <t xml:space="preserve">          Recreation Facilities Electric </t>
  </si>
  <si>
    <t xml:space="preserve">     Gas Utility Services</t>
  </si>
  <si>
    <t xml:space="preserve">          Utility Services</t>
  </si>
  <si>
    <t xml:space="preserve">     Garbage/Solid Waste Control</t>
  </si>
  <si>
    <t xml:space="preserve">          Garbage - Recreation Facility</t>
  </si>
  <si>
    <r>
      <t xml:space="preserve">          Recycle - Recreation Facility</t>
    </r>
    <r>
      <rPr>
        <sz val="10"/>
        <color indexed="10"/>
        <rFont val="Arial"/>
        <family val="2"/>
      </rPr>
      <t xml:space="preserve"> </t>
    </r>
  </si>
  <si>
    <t xml:space="preserve">     Water-Sewer Combination Services</t>
  </si>
  <si>
    <t xml:space="preserve">          Irrigation Water Usage </t>
  </si>
  <si>
    <t xml:space="preserve">          Amenity Facilities Water Usage</t>
  </si>
  <si>
    <t xml:space="preserve">     Stormwater Control</t>
  </si>
  <si>
    <t xml:space="preserve">          Aquatic Contract </t>
  </si>
  <si>
    <t xml:space="preserve">          Mitigation Area Monitoring &amp; Maintenance </t>
  </si>
  <si>
    <t xml:space="preserve">          Fountain Repairs</t>
  </si>
  <si>
    <t xml:space="preserve">          Fountain Maintenance</t>
  </si>
  <si>
    <t xml:space="preserve">     Other Physical Environment</t>
  </si>
  <si>
    <t xml:space="preserve">          General Liability &amp; Property Insurance</t>
  </si>
  <si>
    <t xml:space="preserve">          Insurance - Flood Insurance</t>
  </si>
  <si>
    <t xml:space="preserve">          Entry &amp; Walls Maintenance</t>
  </si>
  <si>
    <t xml:space="preserve">          Landscape Maintenance - Mirabay (Non Sea Crest)</t>
  </si>
  <si>
    <t xml:space="preserve">          Irrigation Repairs and Maintenance</t>
  </si>
  <si>
    <t xml:space="preserve">          Lighting Maintenance &amp; Repair </t>
  </si>
  <si>
    <t xml:space="preserve">          Landscape Maintenance - Sea Crest</t>
  </si>
  <si>
    <t xml:space="preserve">          Landscape Maintenance - Optional Areas</t>
  </si>
  <si>
    <t xml:space="preserve">          Landscape - Fertilization</t>
  </si>
  <si>
    <t xml:space="preserve">          Landscape - Pest Control </t>
  </si>
  <si>
    <t xml:space="preserve">          Mulching </t>
  </si>
  <si>
    <t xml:space="preserve">          Annuals </t>
  </si>
  <si>
    <t xml:space="preserve">          Landscape Replacement Plants, Shrubs, Trees </t>
  </si>
  <si>
    <t xml:space="preserve">          Hand Watering </t>
  </si>
  <si>
    <t xml:space="preserve">          Minor Void Repairs / Sea Wall Repairs </t>
  </si>
  <si>
    <r>
      <t xml:space="preserve">          Freeze Prot. Or Storm Damage</t>
    </r>
    <r>
      <rPr>
        <b/>
        <sz val="10"/>
        <rFont val="Arial"/>
        <family val="2"/>
      </rPr>
      <t xml:space="preserve"> </t>
    </r>
  </si>
  <si>
    <t xml:space="preserve">          Landscape Oak Tree Trimming</t>
  </si>
  <si>
    <t xml:space="preserve">     Road &amp; Street Facilities</t>
  </si>
  <si>
    <t xml:space="preserve">          Street Sweeping</t>
  </si>
  <si>
    <t xml:space="preserve">          Roadway Repair &amp; Maintenance</t>
  </si>
  <si>
    <t xml:space="preserve">          Sidewalk Repair &amp; Maintenance</t>
  </si>
  <si>
    <t xml:space="preserve">          Gate Maintenance (Minor)</t>
  </si>
  <si>
    <t xml:space="preserve">     Parks &amp; Recreation</t>
  </si>
  <si>
    <t xml:space="preserve">          Onsite Staffing/Employment Agreement </t>
  </si>
  <si>
    <t xml:space="preserve">          WTS Management Fee</t>
  </si>
  <si>
    <t xml:space="preserve">          Facility Contribution - Mirabay Club (Amenities)</t>
  </si>
  <si>
    <t xml:space="preserve">          Boat Lift Sling Replacement </t>
  </si>
  <si>
    <t xml:space="preserve">          Office Supplies </t>
  </si>
  <si>
    <t xml:space="preserve">          Cleaning supplies </t>
  </si>
  <si>
    <t xml:space="preserve">          Printing Supplies</t>
  </si>
  <si>
    <t xml:space="preserve">          Computer Repairs &amp; Maintenance </t>
  </si>
  <si>
    <t xml:space="preserve">          Pool Operation &amp; Maintenance</t>
  </si>
  <si>
    <t xml:space="preserve">          Pool Heater Maintenance</t>
  </si>
  <si>
    <t xml:space="preserve">          Building Repairs &amp; Maintenance</t>
  </si>
  <si>
    <t xml:space="preserve">          Tennis Court Maintenance &amp; Supplies</t>
  </si>
  <si>
    <t xml:space="preserve">          Maintenance Supplies </t>
  </si>
  <si>
    <t xml:space="preserve">          Basketball Court Maintenance &amp; Supplies</t>
  </si>
  <si>
    <t xml:space="preserve">          Pest Control</t>
  </si>
  <si>
    <t xml:space="preserve">          Playground Repairs</t>
  </si>
  <si>
    <t xml:space="preserve">          Elevator Maintenance</t>
  </si>
  <si>
    <t xml:space="preserve">          Dog Waste Station Supplies</t>
  </si>
  <si>
    <t xml:space="preserve">          Cell Phones </t>
  </si>
  <si>
    <t xml:space="preserve">          Clubhouse/Gate/Boat Lift Telephone, Cable, Internet</t>
  </si>
  <si>
    <t xml:space="preserve">          Facility HVAC Maintenance &amp; Repairs</t>
  </si>
  <si>
    <t xml:space="preserve">          Sign Maintenance &amp; Repairs</t>
  </si>
  <si>
    <t xml:space="preserve">          Clubhouse Audio Equipment </t>
  </si>
  <si>
    <t xml:space="preserve">          GEM car repairs &amp; Maintenance </t>
  </si>
  <si>
    <t xml:space="preserve">          Holiday Decorations</t>
  </si>
  <si>
    <t>Admiral Pointe Operations</t>
  </si>
  <si>
    <t>WTS Management Fee</t>
  </si>
  <si>
    <t>Pool Operation &amp; Maintenance</t>
  </si>
  <si>
    <t>Electric Utility - Amenity Facilities</t>
  </si>
  <si>
    <t>Water Utility - Amenity Facilities</t>
  </si>
  <si>
    <t>Supplies</t>
  </si>
  <si>
    <t>Landscape Maintenance</t>
  </si>
  <si>
    <t>Clubhouse Pest Control</t>
  </si>
  <si>
    <t>Building Repairs &amp; Maintenance</t>
  </si>
  <si>
    <t>Telephone/Internet</t>
  </si>
  <si>
    <t>Street Tree Pruning</t>
  </si>
  <si>
    <t xml:space="preserve">     Contingency</t>
  </si>
  <si>
    <t xml:space="preserve">          Miscellaneous Contingency </t>
  </si>
  <si>
    <t xml:space="preserve">          Capital Outlay</t>
  </si>
  <si>
    <t xml:space="preserve">     Total Expenditures</t>
  </si>
  <si>
    <t>Total</t>
  </si>
  <si>
    <t>Assessment Roll</t>
  </si>
  <si>
    <t>Miscellaneous Mailings</t>
  </si>
  <si>
    <t>Miscellaneous Fees</t>
  </si>
  <si>
    <t xml:space="preserve">          Website Hosting, Maintenance, Backup </t>
  </si>
  <si>
    <t>Field Services</t>
  </si>
  <si>
    <t>Street Sign Repair &amp; Replacement</t>
  </si>
  <si>
    <t xml:space="preserve">          Gate Facility Maintenance </t>
  </si>
  <si>
    <t xml:space="preserve">          Cleaning Supplies </t>
  </si>
  <si>
    <t xml:space="preserve">          Computer Support, Maintenance &amp; Repair </t>
  </si>
  <si>
    <t>Security Monitoring</t>
  </si>
  <si>
    <t>Seawall Contingency</t>
  </si>
  <si>
    <t>Litigation Contingency</t>
  </si>
  <si>
    <t>Working Capital</t>
  </si>
  <si>
    <t>Bay Breeze</t>
  </si>
  <si>
    <t>Total fund equity</t>
  </si>
  <si>
    <t>Planned expenses</t>
  </si>
  <si>
    <t>Planned cash receipts</t>
  </si>
  <si>
    <t>Totals</t>
  </si>
  <si>
    <t>Historical A/R</t>
  </si>
  <si>
    <t>Amount received</t>
  </si>
  <si>
    <t>% received</t>
  </si>
  <si>
    <t>Fiscal 2018</t>
  </si>
  <si>
    <t>Other projects</t>
  </si>
  <si>
    <t>Fund balance sub total</t>
  </si>
  <si>
    <t>Expected cash in account</t>
  </si>
  <si>
    <t>Planned 2018 expenses (excludes $572,248-$204,102 for pool and clubhouse)(or $368,146 that should have been spent through 2017)</t>
  </si>
  <si>
    <t>Refinish pool $222,134</t>
  </si>
  <si>
    <t>Capital Fund</t>
  </si>
  <si>
    <t>Engineering fees</t>
  </si>
  <si>
    <t>Legal fees</t>
  </si>
  <si>
    <t>Emergent lots</t>
  </si>
  <si>
    <t>Miscellaneous</t>
  </si>
  <si>
    <t>Cash for all 3 accounts</t>
  </si>
  <si>
    <t>Reserve fund balance should be</t>
  </si>
  <si>
    <r>
      <rPr>
        <b/>
        <sz val="12"/>
        <color theme="1"/>
        <rFont val="Calibri"/>
        <family val="2"/>
        <scheme val="minor"/>
      </rPr>
      <t>Liabilities</t>
    </r>
    <r>
      <rPr>
        <b/>
        <sz val="11"/>
        <color theme="1"/>
        <rFont val="Calibri"/>
        <family val="2"/>
        <scheme val="minor"/>
      </rPr>
      <t xml:space="preserve"> not accounted for</t>
    </r>
  </si>
  <si>
    <t>Upland claims remaining</t>
  </si>
  <si>
    <t>Upland claims ($750,000 paid for the year)</t>
  </si>
  <si>
    <t>Remaining months Operation &amp; Maintanence expense for fiscal year ended Sept. 30th</t>
  </si>
  <si>
    <t>August statements</t>
  </si>
  <si>
    <t>Cash  minus Liabilities - working capital required ($500K)</t>
  </si>
  <si>
    <t>Changes from July to Aug</t>
  </si>
  <si>
    <t>Clubhouse payments($98,593 spent prior to August 31)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</si>
</sst>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5" formatCode="&quot;$&quot;#,##0"/>
    <numFmt numFmtId="167" formatCode="[$-409]mmm\-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6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6" fontId="4" fillId="0" borderId="0" xfId="0" applyNumberFormat="1" applyFont="1"/>
    <xf numFmtId="6" fontId="1" fillId="0" borderId="0" xfId="0" applyNumberFormat="1" applyFont="1"/>
    <xf numFmtId="0" fontId="3" fillId="0" borderId="0" xfId="0" applyFont="1"/>
    <xf numFmtId="6" fontId="6" fillId="0" borderId="0" xfId="0" applyNumberFormat="1" applyFont="1"/>
    <xf numFmtId="0" fontId="1" fillId="0" borderId="0" xfId="0" applyFont="1"/>
    <xf numFmtId="0" fontId="4" fillId="0" borderId="0" xfId="0" applyFont="1" applyAlignment="1">
      <alignment wrapText="1"/>
    </xf>
    <xf numFmtId="165" fontId="0" fillId="0" borderId="0" xfId="0" applyNumberFormat="1"/>
    <xf numFmtId="165" fontId="1" fillId="0" borderId="0" xfId="0" applyNumberFormat="1" applyFont="1"/>
    <xf numFmtId="165" fontId="5" fillId="0" borderId="0" xfId="0" applyNumberFormat="1" applyFont="1" applyAlignment="1">
      <alignment wrapText="1"/>
    </xf>
    <xf numFmtId="6" fontId="0" fillId="0" borderId="0" xfId="0" applyNumberFormat="1" applyAlignment="1">
      <alignment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6" fontId="4" fillId="0" borderId="0" xfId="0" applyNumberFormat="1" applyFont="1" applyAlignment="1">
      <alignment horizontal="right"/>
    </xf>
    <xf numFmtId="6" fontId="4" fillId="0" borderId="0" xfId="0" applyNumberFormat="1" applyFont="1" applyFill="1"/>
    <xf numFmtId="6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6" fontId="0" fillId="0" borderId="0" xfId="0" applyNumberFormat="1" applyBorder="1"/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7" fontId="8" fillId="0" borderId="4" xfId="0" applyNumberFormat="1" applyFont="1" applyBorder="1" applyAlignment="1">
      <alignment horizontal="center"/>
    </xf>
    <xf numFmtId="17" fontId="8" fillId="0" borderId="5" xfId="0" applyNumberFormat="1" applyFont="1" applyBorder="1" applyAlignment="1">
      <alignment horizontal="center"/>
    </xf>
    <xf numFmtId="17" fontId="8" fillId="0" borderId="6" xfId="0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9" fillId="0" borderId="9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0" fillId="3" borderId="4" xfId="0" applyFont="1" applyFill="1" applyBorder="1"/>
    <xf numFmtId="0" fontId="0" fillId="3" borderId="4" xfId="0" applyFill="1" applyBorder="1"/>
    <xf numFmtId="3" fontId="0" fillId="3" borderId="8" xfId="0" applyNumberFormat="1" applyFill="1" applyBorder="1" applyAlignment="1">
      <alignment horizontal="center"/>
    </xf>
    <xf numFmtId="0" fontId="0" fillId="0" borderId="13" xfId="0" applyBorder="1"/>
    <xf numFmtId="165" fontId="0" fillId="0" borderId="7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5" fontId="9" fillId="0" borderId="16" xfId="0" applyNumberFormat="1" applyFont="1" applyBorder="1" applyAlignment="1">
      <alignment horizontal="right"/>
    </xf>
    <xf numFmtId="165" fontId="9" fillId="0" borderId="17" xfId="0" applyNumberFormat="1" applyFont="1" applyBorder="1" applyAlignment="1">
      <alignment horizontal="right"/>
    </xf>
    <xf numFmtId="165" fontId="9" fillId="0" borderId="13" xfId="0" applyNumberFormat="1" applyFont="1" applyBorder="1" applyAlignment="1">
      <alignment horizontal="right"/>
    </xf>
    <xf numFmtId="165" fontId="9" fillId="0" borderId="13" xfId="0" applyNumberFormat="1" applyFont="1" applyFill="1" applyBorder="1" applyAlignment="1">
      <alignment horizontal="right"/>
    </xf>
    <xf numFmtId="165" fontId="9" fillId="0" borderId="17" xfId="0" applyNumberFormat="1" applyFont="1" applyFill="1" applyBorder="1" applyAlignment="1">
      <alignment horizontal="right"/>
    </xf>
    <xf numFmtId="0" fontId="9" fillId="0" borderId="18" xfId="0" applyFont="1" applyBorder="1"/>
    <xf numFmtId="165" fontId="0" fillId="0" borderId="18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165" fontId="0" fillId="0" borderId="2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2" xfId="0" applyNumberFormat="1" applyBorder="1" applyAlignment="1">
      <alignment horizontal="right"/>
    </xf>
    <xf numFmtId="0" fontId="0" fillId="2" borderId="0" xfId="0" applyFill="1" applyBorder="1"/>
    <xf numFmtId="0" fontId="8" fillId="4" borderId="4" xfId="0" applyFont="1" applyFill="1" applyBorder="1" applyAlignment="1">
      <alignment horizontal="right"/>
    </xf>
    <xf numFmtId="165" fontId="8" fillId="5" borderId="21" xfId="0" applyNumberFormat="1" applyFont="1" applyFill="1" applyBorder="1" applyAlignment="1">
      <alignment horizontal="right"/>
    </xf>
    <xf numFmtId="165" fontId="8" fillId="5" borderId="22" xfId="0" applyNumberFormat="1" applyFont="1" applyFill="1" applyBorder="1" applyAlignment="1">
      <alignment horizontal="right"/>
    </xf>
    <xf numFmtId="165" fontId="8" fillId="5" borderId="20" xfId="0" applyNumberFormat="1" applyFont="1" applyFill="1" applyBorder="1" applyAlignment="1">
      <alignment horizontal="right"/>
    </xf>
    <xf numFmtId="165" fontId="8" fillId="5" borderId="4" xfId="0" applyNumberFormat="1" applyFont="1" applyFill="1" applyBorder="1" applyAlignment="1">
      <alignment horizontal="right"/>
    </xf>
    <xf numFmtId="0" fontId="8" fillId="6" borderId="9" xfId="0" applyFont="1" applyFill="1" applyBorder="1"/>
    <xf numFmtId="165" fontId="8" fillId="6" borderId="12" xfId="0" applyNumberFormat="1" applyFont="1" applyFill="1" applyBorder="1" applyAlignment="1">
      <alignment horizontal="right"/>
    </xf>
    <xf numFmtId="165" fontId="8" fillId="6" borderId="23" xfId="0" applyNumberFormat="1" applyFont="1" applyFill="1" applyBorder="1" applyAlignment="1">
      <alignment horizontal="right"/>
    </xf>
    <xf numFmtId="165" fontId="8" fillId="6" borderId="0" xfId="0" applyNumberFormat="1" applyFont="1" applyFill="1" applyBorder="1" applyAlignment="1">
      <alignment horizontal="right"/>
    </xf>
    <xf numFmtId="165" fontId="8" fillId="6" borderId="24" xfId="0" applyNumberFormat="1" applyFont="1" applyFill="1" applyBorder="1" applyAlignment="1">
      <alignment horizontal="right"/>
    </xf>
    <xf numFmtId="165" fontId="8" fillId="6" borderId="10" xfId="0" applyNumberFormat="1" applyFont="1" applyFill="1" applyBorder="1" applyAlignment="1">
      <alignment horizontal="right"/>
    </xf>
    <xf numFmtId="165" fontId="0" fillId="7" borderId="5" xfId="0" applyNumberFormat="1" applyFill="1" applyBorder="1" applyAlignment="1">
      <alignment horizontal="right"/>
    </xf>
    <xf numFmtId="165" fontId="0" fillId="7" borderId="8" xfId="0" applyNumberFormat="1" applyFill="1" applyBorder="1" applyAlignment="1">
      <alignment horizontal="right"/>
    </xf>
    <xf numFmtId="165" fontId="0" fillId="7" borderId="6" xfId="0" applyNumberFormat="1" applyFill="1" applyBorder="1" applyAlignment="1">
      <alignment horizontal="right"/>
    </xf>
    <xf numFmtId="0" fontId="9" fillId="2" borderId="12" xfId="0" applyFont="1" applyFill="1" applyBorder="1"/>
    <xf numFmtId="165" fontId="0" fillId="2" borderId="10" xfId="0" applyNumberFormat="1" applyFill="1" applyBorder="1" applyAlignment="1">
      <alignment horizontal="right"/>
    </xf>
    <xf numFmtId="165" fontId="0" fillId="8" borderId="3" xfId="0" applyNumberFormat="1" applyFill="1" applyBorder="1" applyAlignment="1">
      <alignment horizontal="right"/>
    </xf>
    <xf numFmtId="165" fontId="0" fillId="8" borderId="12" xfId="0" applyNumberFormat="1" applyFill="1" applyBorder="1" applyAlignment="1">
      <alignment horizontal="right"/>
    </xf>
    <xf numFmtId="0" fontId="0" fillId="8" borderId="0" xfId="0" applyFill="1"/>
    <xf numFmtId="0" fontId="0" fillId="0" borderId="25" xfId="0" applyBorder="1"/>
    <xf numFmtId="165" fontId="0" fillId="8" borderId="25" xfId="0" applyNumberFormat="1" applyFill="1" applyBorder="1" applyAlignment="1">
      <alignment horizontal="right"/>
    </xf>
    <xf numFmtId="165" fontId="0" fillId="8" borderId="26" xfId="0" applyNumberFormat="1" applyFill="1" applyBorder="1" applyAlignment="1">
      <alignment horizontal="right"/>
    </xf>
    <xf numFmtId="0" fontId="9" fillId="8" borderId="0" xfId="0" applyFont="1" applyFill="1" applyAlignment="1">
      <alignment horizontal="right"/>
    </xf>
    <xf numFmtId="165" fontId="0" fillId="8" borderId="13" xfId="0" applyNumberFormat="1" applyFill="1" applyBorder="1" applyAlignment="1">
      <alignment horizontal="right"/>
    </xf>
    <xf numFmtId="0" fontId="0" fillId="2" borderId="9" xfId="0" applyFill="1" applyBorder="1"/>
    <xf numFmtId="165" fontId="9" fillId="8" borderId="9" xfId="0" applyNumberFormat="1" applyFont="1" applyFill="1" applyBorder="1" applyAlignment="1">
      <alignment horizontal="right"/>
    </xf>
    <xf numFmtId="0" fontId="0" fillId="2" borderId="13" xfId="0" applyFill="1" applyBorder="1"/>
    <xf numFmtId="165" fontId="9" fillId="8" borderId="13" xfId="0" applyNumberFormat="1" applyFont="1" applyFill="1" applyBorder="1" applyAlignment="1">
      <alignment horizontal="right"/>
    </xf>
    <xf numFmtId="165" fontId="9" fillId="8" borderId="16" xfId="0" applyNumberFormat="1" applyFont="1" applyFill="1" applyBorder="1" applyAlignment="1">
      <alignment horizontal="right"/>
    </xf>
    <xf numFmtId="165" fontId="9" fillId="8" borderId="27" xfId="0" applyNumberFormat="1" applyFont="1" applyFill="1" applyBorder="1" applyAlignment="1">
      <alignment horizontal="right"/>
    </xf>
    <xf numFmtId="165" fontId="9" fillId="8" borderId="17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0" fontId="9" fillId="2" borderId="13" xfId="0" applyFont="1" applyFill="1" applyBorder="1"/>
    <xf numFmtId="165" fontId="0" fillId="8" borderId="16" xfId="0" applyNumberFormat="1" applyFill="1" applyBorder="1" applyAlignment="1">
      <alignment horizontal="right"/>
    </xf>
    <xf numFmtId="165" fontId="0" fillId="8" borderId="17" xfId="0" applyNumberFormat="1" applyFill="1" applyBorder="1" applyAlignment="1">
      <alignment horizontal="right"/>
    </xf>
    <xf numFmtId="165" fontId="0" fillId="8" borderId="27" xfId="0" applyNumberFormat="1" applyFill="1" applyBorder="1" applyAlignment="1">
      <alignment horizontal="right"/>
    </xf>
    <xf numFmtId="165" fontId="0" fillId="0" borderId="27" xfId="0" applyNumberFormat="1" applyFill="1" applyBorder="1" applyAlignment="1">
      <alignment horizontal="right"/>
    </xf>
    <xf numFmtId="165" fontId="0" fillId="0" borderId="13" xfId="0" applyNumberFormat="1" applyFill="1" applyBorder="1" applyAlignment="1">
      <alignment horizontal="right"/>
    </xf>
    <xf numFmtId="165" fontId="9" fillId="2" borderId="13" xfId="0" applyNumberFormat="1" applyFont="1" applyFill="1" applyBorder="1" applyAlignment="1">
      <alignment horizontal="right"/>
    </xf>
    <xf numFmtId="165" fontId="9" fillId="2" borderId="27" xfId="0" applyNumberFormat="1" applyFont="1" applyFill="1" applyBorder="1" applyAlignment="1">
      <alignment horizontal="right"/>
    </xf>
    <xf numFmtId="0" fontId="0" fillId="2" borderId="0" xfId="0" applyFill="1"/>
    <xf numFmtId="165" fontId="0" fillId="2" borderId="13" xfId="0" applyNumberFormat="1" applyFill="1" applyBorder="1" applyAlignment="1">
      <alignment horizontal="right"/>
    </xf>
    <xf numFmtId="165" fontId="0" fillId="2" borderId="16" xfId="0" applyNumberFormat="1" applyFill="1" applyBorder="1" applyAlignment="1">
      <alignment horizontal="right"/>
    </xf>
    <xf numFmtId="165" fontId="0" fillId="2" borderId="17" xfId="0" applyNumberFormat="1" applyFill="1" applyBorder="1" applyAlignment="1">
      <alignment horizontal="right"/>
    </xf>
    <xf numFmtId="0" fontId="0" fillId="0" borderId="13" xfId="0" applyFill="1" applyBorder="1"/>
    <xf numFmtId="165" fontId="0" fillId="8" borderId="28" xfId="0" applyNumberFormat="1" applyFill="1" applyBorder="1" applyAlignment="1">
      <alignment horizontal="right"/>
    </xf>
    <xf numFmtId="165" fontId="0" fillId="2" borderId="12" xfId="0" applyNumberFormat="1" applyFill="1" applyBorder="1" applyAlignment="1">
      <alignment horizontal="right"/>
    </xf>
    <xf numFmtId="165" fontId="0" fillId="2" borderId="11" xfId="0" applyNumberFormat="1" applyFill="1" applyBorder="1" applyAlignment="1">
      <alignment horizontal="right"/>
    </xf>
    <xf numFmtId="0" fontId="9" fillId="0" borderId="25" xfId="0" applyFont="1" applyBorder="1"/>
    <xf numFmtId="0" fontId="9" fillId="0" borderId="13" xfId="0" applyFont="1" applyBorder="1"/>
    <xf numFmtId="165" fontId="9" fillId="2" borderId="29" xfId="0" applyNumberFormat="1" applyFont="1" applyFill="1" applyBorder="1" applyAlignment="1">
      <alignment horizontal="right"/>
    </xf>
    <xf numFmtId="165" fontId="9" fillId="8" borderId="1" xfId="0" applyNumberFormat="1" applyFont="1" applyFill="1" applyBorder="1" applyAlignment="1">
      <alignment horizontal="right"/>
    </xf>
    <xf numFmtId="165" fontId="9" fillId="8" borderId="30" xfId="0" applyNumberFormat="1" applyFont="1" applyFill="1" applyBorder="1" applyAlignment="1">
      <alignment horizontal="right"/>
    </xf>
    <xf numFmtId="165" fontId="9" fillId="8" borderId="31" xfId="0" applyNumberFormat="1" applyFont="1" applyFill="1" applyBorder="1" applyAlignment="1">
      <alignment horizontal="right"/>
    </xf>
    <xf numFmtId="165" fontId="9" fillId="8" borderId="32" xfId="0" applyNumberFormat="1" applyFont="1" applyFill="1" applyBorder="1" applyAlignment="1">
      <alignment horizontal="right"/>
    </xf>
    <xf numFmtId="165" fontId="9" fillId="8" borderId="33" xfId="0" applyNumberFormat="1" applyFont="1" applyFill="1" applyBorder="1" applyAlignment="1">
      <alignment horizontal="right"/>
    </xf>
    <xf numFmtId="165" fontId="9" fillId="8" borderId="34" xfId="0" applyNumberFormat="1" applyFont="1" applyFill="1" applyBorder="1" applyAlignment="1">
      <alignment horizontal="right"/>
    </xf>
    <xf numFmtId="165" fontId="9" fillId="8" borderId="35" xfId="0" applyNumberFormat="1" applyFont="1" applyFill="1" applyBorder="1" applyAlignment="1">
      <alignment horizontal="right"/>
    </xf>
    <xf numFmtId="0" fontId="9" fillId="0" borderId="12" xfId="0" applyFont="1" applyFill="1" applyBorder="1"/>
    <xf numFmtId="165" fontId="9" fillId="8" borderId="36" xfId="0" applyNumberFormat="1" applyFont="1" applyFill="1" applyBorder="1" applyAlignment="1">
      <alignment horizontal="right"/>
    </xf>
    <xf numFmtId="165" fontId="9" fillId="8" borderId="37" xfId="0" applyNumberFormat="1" applyFont="1" applyFill="1" applyBorder="1" applyAlignment="1">
      <alignment horizontal="right"/>
    </xf>
    <xf numFmtId="165" fontId="9" fillId="8" borderId="38" xfId="0" applyNumberFormat="1" applyFont="1" applyFill="1" applyBorder="1" applyAlignment="1">
      <alignment horizontal="right"/>
    </xf>
    <xf numFmtId="165" fontId="9" fillId="8" borderId="39" xfId="0" applyNumberFormat="1" applyFont="1" applyFill="1" applyBorder="1" applyAlignment="1">
      <alignment horizontal="right"/>
    </xf>
    <xf numFmtId="165" fontId="9" fillId="8" borderId="10" xfId="0" applyNumberFormat="1" applyFont="1" applyFill="1" applyBorder="1" applyAlignment="1">
      <alignment horizontal="right"/>
    </xf>
    <xf numFmtId="165" fontId="9" fillId="8" borderId="29" xfId="0" applyNumberFormat="1" applyFont="1" applyFill="1" applyBorder="1" applyAlignment="1">
      <alignment horizontal="right"/>
    </xf>
    <xf numFmtId="165" fontId="9" fillId="2" borderId="25" xfId="0" applyNumberFormat="1" applyFont="1" applyFill="1" applyBorder="1" applyAlignment="1">
      <alignment horizontal="right"/>
    </xf>
    <xf numFmtId="0" fontId="9" fillId="2" borderId="9" xfId="0" applyFont="1" applyFill="1" applyBorder="1"/>
    <xf numFmtId="165" fontId="9" fillId="2" borderId="9" xfId="0" applyNumberFormat="1" applyFont="1" applyFill="1" applyBorder="1" applyAlignment="1">
      <alignment horizontal="right"/>
    </xf>
    <xf numFmtId="0" fontId="0" fillId="0" borderId="12" xfId="0" applyBorder="1"/>
    <xf numFmtId="165" fontId="9" fillId="8" borderId="12" xfId="0" applyNumberFormat="1" applyFont="1" applyFill="1" applyBorder="1" applyAlignment="1">
      <alignment horizontal="right"/>
    </xf>
    <xf numFmtId="0" fontId="0" fillId="2" borderId="25" xfId="0" applyFill="1" applyBorder="1"/>
    <xf numFmtId="0" fontId="9" fillId="0" borderId="9" xfId="0" applyFont="1" applyFill="1" applyBorder="1"/>
    <xf numFmtId="0" fontId="10" fillId="3" borderId="4" xfId="0" applyFont="1" applyFill="1" applyBorder="1" applyAlignment="1"/>
    <xf numFmtId="165" fontId="0" fillId="7" borderId="4" xfId="0" applyNumberFormat="1" applyFill="1" applyBorder="1" applyAlignment="1">
      <alignment horizontal="right"/>
    </xf>
    <xf numFmtId="0" fontId="9" fillId="0" borderId="25" xfId="0" applyFont="1" applyBorder="1" applyAlignment="1">
      <alignment horizontal="left"/>
    </xf>
    <xf numFmtId="165" fontId="9" fillId="8" borderId="25" xfId="0" applyNumberFormat="1" applyFont="1" applyFill="1" applyBorder="1" applyAlignment="1">
      <alignment horizontal="right"/>
    </xf>
    <xf numFmtId="165" fontId="9" fillId="2" borderId="10" xfId="0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left"/>
    </xf>
    <xf numFmtId="165" fontId="9" fillId="0" borderId="30" xfId="0" applyNumberFormat="1" applyFont="1" applyFill="1" applyBorder="1" applyAlignment="1">
      <alignment horizontal="right"/>
    </xf>
    <xf numFmtId="165" fontId="9" fillId="0" borderId="31" xfId="0" applyNumberFormat="1" applyFont="1" applyFill="1" applyBorder="1" applyAlignment="1">
      <alignment horizontal="right"/>
    </xf>
    <xf numFmtId="0" fontId="0" fillId="0" borderId="9" xfId="0" applyBorder="1"/>
    <xf numFmtId="165" fontId="0" fillId="8" borderId="40" xfId="0" applyNumberFormat="1" applyFill="1" applyBorder="1" applyAlignment="1">
      <alignment horizontal="right"/>
    </xf>
    <xf numFmtId="165" fontId="0" fillId="8" borderId="9" xfId="0" applyNumberFormat="1" applyFill="1" applyBorder="1" applyAlignment="1">
      <alignment horizontal="right"/>
    </xf>
    <xf numFmtId="165" fontId="9" fillId="2" borderId="17" xfId="0" applyNumberFormat="1" applyFont="1" applyFill="1" applyBorder="1" applyAlignment="1">
      <alignment horizontal="right"/>
    </xf>
    <xf numFmtId="165" fontId="9" fillId="2" borderId="16" xfId="0" applyNumberFormat="1" applyFont="1" applyFill="1" applyBorder="1" applyAlignment="1">
      <alignment horizontal="right"/>
    </xf>
    <xf numFmtId="165" fontId="12" fillId="2" borderId="27" xfId="0" applyNumberFormat="1" applyFont="1" applyFill="1" applyBorder="1" applyAlignment="1">
      <alignment horizontal="right"/>
    </xf>
    <xf numFmtId="0" fontId="9" fillId="8" borderId="13" xfId="0" applyFont="1" applyFill="1" applyBorder="1"/>
    <xf numFmtId="165" fontId="13" fillId="2" borderId="13" xfId="0" applyNumberFormat="1" applyFont="1" applyFill="1" applyBorder="1" applyAlignment="1">
      <alignment horizontal="right"/>
    </xf>
    <xf numFmtId="0" fontId="0" fillId="2" borderId="13" xfId="0" applyFill="1" applyBorder="1" applyAlignment="1">
      <alignment wrapText="1"/>
    </xf>
    <xf numFmtId="0" fontId="0" fillId="2" borderId="0" xfId="0" applyFill="1" applyBorder="1" applyAlignment="1">
      <alignment horizontal="right"/>
    </xf>
    <xf numFmtId="0" fontId="9" fillId="2" borderId="13" xfId="0" applyFont="1" applyFill="1" applyBorder="1" applyAlignment="1">
      <alignment horizontal="left"/>
    </xf>
    <xf numFmtId="165" fontId="9" fillId="2" borderId="3" xfId="0" applyNumberFormat="1" applyFont="1" applyFill="1" applyBorder="1" applyAlignment="1">
      <alignment horizontal="right"/>
    </xf>
    <xf numFmtId="165" fontId="9" fillId="2" borderId="12" xfId="0" applyNumberFormat="1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65" fontId="9" fillId="2" borderId="0" xfId="0" applyNumberFormat="1" applyFont="1" applyFill="1" applyBorder="1" applyAlignment="1">
      <alignment horizontal="right"/>
    </xf>
    <xf numFmtId="165" fontId="9" fillId="8" borderId="26" xfId="0" applyNumberFormat="1" applyFont="1" applyFill="1" applyBorder="1" applyAlignment="1">
      <alignment horizontal="right"/>
    </xf>
    <xf numFmtId="0" fontId="9" fillId="2" borderId="7" xfId="0" applyFont="1" applyFill="1" applyBorder="1"/>
    <xf numFmtId="165" fontId="9" fillId="2" borderId="26" xfId="0" applyNumberFormat="1" applyFont="1" applyFill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0" fontId="9" fillId="2" borderId="13" xfId="0" applyFont="1" applyFill="1" applyBorder="1" applyAlignment="1">
      <alignment wrapText="1"/>
    </xf>
    <xf numFmtId="165" fontId="0" fillId="8" borderId="29" xfId="0" applyNumberFormat="1" applyFill="1" applyBorder="1" applyAlignment="1">
      <alignment horizontal="right"/>
    </xf>
    <xf numFmtId="0" fontId="9" fillId="8" borderId="0" xfId="0" applyFont="1" applyFill="1"/>
    <xf numFmtId="165" fontId="8" fillId="3" borderId="5" xfId="0" applyNumberFormat="1" applyFont="1" applyFill="1" applyBorder="1" applyAlignment="1">
      <alignment horizontal="right"/>
    </xf>
    <xf numFmtId="165" fontId="8" fillId="3" borderId="8" xfId="0" applyNumberFormat="1" applyFont="1" applyFill="1" applyBorder="1" applyAlignment="1">
      <alignment horizontal="right"/>
    </xf>
    <xf numFmtId="165" fontId="8" fillId="3" borderId="4" xfId="0" applyNumberFormat="1" applyFont="1" applyFill="1" applyBorder="1" applyAlignment="1">
      <alignment horizontal="right"/>
    </xf>
    <xf numFmtId="165" fontId="8" fillId="3" borderId="6" xfId="0" applyNumberFormat="1" applyFont="1" applyFill="1" applyBorder="1" applyAlignment="1">
      <alignment horizontal="right"/>
    </xf>
    <xf numFmtId="0" fontId="9" fillId="2" borderId="13" xfId="0" applyFont="1" applyFill="1" applyBorder="1" applyAlignment="1">
      <alignment horizontal="left" indent="3"/>
    </xf>
    <xf numFmtId="0" fontId="9" fillId="8" borderId="13" xfId="0" applyFont="1" applyFill="1" applyBorder="1" applyAlignment="1">
      <alignment horizontal="left" indent="3"/>
    </xf>
    <xf numFmtId="0" fontId="0" fillId="2" borderId="9" xfId="0" applyFill="1" applyBorder="1" applyAlignment="1">
      <alignment horizontal="left" indent="3"/>
    </xf>
    <xf numFmtId="0" fontId="9" fillId="2" borderId="25" xfId="0" applyFont="1" applyFill="1" applyBorder="1" applyAlignment="1">
      <alignment horizontal="left"/>
    </xf>
    <xf numFmtId="0" fontId="8" fillId="0" borderId="13" xfId="0" applyFont="1" applyBorder="1"/>
    <xf numFmtId="6" fontId="8" fillId="0" borderId="6" xfId="0" applyNumberFormat="1" applyFont="1" applyFill="1" applyBorder="1" applyAlignment="1">
      <alignment horizontal="right"/>
    </xf>
    <xf numFmtId="6" fontId="8" fillId="0" borderId="4" xfId="0" applyNumberFormat="1" applyFont="1" applyFill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165" fontId="0" fillId="3" borderId="6" xfId="0" applyNumberFormat="1" applyFill="1" applyBorder="1" applyAlignment="1">
      <alignment horizontal="right"/>
    </xf>
    <xf numFmtId="165" fontId="8" fillId="8" borderId="17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left" indent="3"/>
    </xf>
    <xf numFmtId="165" fontId="0" fillId="2" borderId="25" xfId="0" applyNumberFormat="1" applyFill="1" applyBorder="1" applyAlignment="1">
      <alignment horizontal="right"/>
    </xf>
    <xf numFmtId="0" fontId="9" fillId="0" borderId="25" xfId="0" applyFont="1" applyBorder="1" applyAlignment="1">
      <alignment horizontal="left" indent="3"/>
    </xf>
    <xf numFmtId="165" fontId="0" fillId="0" borderId="26" xfId="0" applyNumberFormat="1" applyBorder="1" applyAlignment="1">
      <alignment horizontal="right"/>
    </xf>
    <xf numFmtId="0" fontId="9" fillId="2" borderId="25" xfId="0" applyFont="1" applyFill="1" applyBorder="1" applyAlignment="1">
      <alignment horizontal="left" indent="3"/>
    </xf>
    <xf numFmtId="165" fontId="8" fillId="0" borderId="6" xfId="0" applyNumberFormat="1" applyFont="1" applyFill="1" applyBorder="1" applyAlignment="1">
      <alignment horizontal="right"/>
    </xf>
    <xf numFmtId="165" fontId="8" fillId="0" borderId="4" xfId="0" applyNumberFormat="1" applyFont="1" applyFill="1" applyBorder="1" applyAlignment="1">
      <alignment horizontal="right"/>
    </xf>
    <xf numFmtId="0" fontId="14" fillId="0" borderId="0" xfId="0" applyFont="1"/>
    <xf numFmtId="165" fontId="15" fillId="2" borderId="13" xfId="0" applyNumberFormat="1" applyFont="1" applyFill="1" applyBorder="1" applyAlignment="1">
      <alignment horizontal="right"/>
    </xf>
    <xf numFmtId="167" fontId="0" fillId="0" borderId="0" xfId="0" applyNumberFormat="1"/>
    <xf numFmtId="0" fontId="16" fillId="0" borderId="0" xfId="0" applyFont="1"/>
    <xf numFmtId="10" fontId="0" fillId="0" borderId="0" xfId="0" applyNumberFormat="1"/>
    <xf numFmtId="0" fontId="17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h%20analysis%20through%20July%20financial%20statemen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eve's Cash analysis"/>
      <sheetName val="cash flow"/>
      <sheetName val="Sheet1"/>
      <sheetName val="Pauls numbers August agenda"/>
      <sheetName val="Stated project expenses"/>
      <sheetName val="FY 17 plan"/>
      <sheetName val="FY 18 plan"/>
      <sheetName val="Cash analyis overview"/>
      <sheetName val="Mirabay Club"/>
    </sheetNames>
    <sheetDataSet>
      <sheetData sheetId="0" refreshError="1"/>
      <sheetData sheetId="1">
        <row r="4">
          <cell r="C4">
            <v>246178.00000000006</v>
          </cell>
          <cell r="Q4">
            <v>3989334.9999999991</v>
          </cell>
        </row>
        <row r="5">
          <cell r="Q5">
            <v>3492826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workbookViewId="0">
      <selection activeCell="D9" sqref="D9"/>
    </sheetView>
  </sheetViews>
  <sheetFormatPr defaultRowHeight="15"/>
  <cols>
    <col min="1" max="1" width="32" customWidth="1"/>
    <col min="2" max="3" width="11" bestFit="1" customWidth="1"/>
    <col min="4" max="4" width="12.85546875" customWidth="1"/>
    <col min="5" max="5" width="13.140625" customWidth="1"/>
    <col min="6" max="6" width="12" customWidth="1"/>
    <col min="7" max="7" width="11" bestFit="1" customWidth="1"/>
    <col min="8" max="8" width="12" customWidth="1"/>
    <col min="9" max="9" width="11.5703125" customWidth="1"/>
    <col min="10" max="10" width="12" customWidth="1"/>
    <col min="11" max="11" width="11.5703125" customWidth="1"/>
    <col min="12" max="12" width="12.85546875" customWidth="1"/>
    <col min="13" max="13" width="11.85546875" customWidth="1"/>
    <col min="14" max="14" width="11.5703125" customWidth="1"/>
    <col min="15" max="15" width="12.140625" customWidth="1"/>
    <col min="16" max="16" width="10.140625" bestFit="1" customWidth="1"/>
    <col min="17" max="17" width="10.140625" customWidth="1"/>
    <col min="18" max="18" width="10.7109375" hidden="1" customWidth="1"/>
    <col min="19" max="19" width="12.5703125" hidden="1" customWidth="1"/>
    <col min="20" max="20" width="12.28515625" hidden="1" customWidth="1"/>
    <col min="21" max="21" width="0" hidden="1" customWidth="1"/>
  </cols>
  <sheetData>
    <row r="1" spans="1:21" ht="46.5">
      <c r="F1" s="203" t="s">
        <v>15</v>
      </c>
      <c r="Q1" s="208" t="s">
        <v>255</v>
      </c>
    </row>
    <row r="2" spans="1:21">
      <c r="B2" s="202">
        <v>42962</v>
      </c>
      <c r="C2" s="202">
        <f t="shared" ref="C2:O2" si="0">B2+30</f>
        <v>42992</v>
      </c>
      <c r="D2" s="202">
        <f t="shared" si="0"/>
        <v>43022</v>
      </c>
      <c r="E2" s="202">
        <f t="shared" si="0"/>
        <v>43052</v>
      </c>
      <c r="F2" s="202">
        <f t="shared" si="0"/>
        <v>43082</v>
      </c>
      <c r="G2" s="202">
        <f t="shared" si="0"/>
        <v>43112</v>
      </c>
      <c r="H2" s="202">
        <f t="shared" si="0"/>
        <v>43142</v>
      </c>
      <c r="I2" s="202">
        <f t="shared" si="0"/>
        <v>43172</v>
      </c>
      <c r="J2" s="202">
        <f t="shared" si="0"/>
        <v>43202</v>
      </c>
      <c r="K2" s="202">
        <f t="shared" si="0"/>
        <v>43232</v>
      </c>
      <c r="L2" s="202">
        <f t="shared" si="0"/>
        <v>43262</v>
      </c>
      <c r="M2" s="202">
        <f t="shared" si="0"/>
        <v>43292</v>
      </c>
      <c r="N2" s="202">
        <f t="shared" si="0"/>
        <v>43322</v>
      </c>
      <c r="O2" s="202">
        <f t="shared" si="0"/>
        <v>43352</v>
      </c>
      <c r="P2" t="s">
        <v>232</v>
      </c>
    </row>
    <row r="3" spans="1:21">
      <c r="A3" t="s">
        <v>229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S3" t="s">
        <v>236</v>
      </c>
      <c r="T3" s="16">
        <f>'FY 18 plan'!O15</f>
        <v>3492826</v>
      </c>
    </row>
    <row r="4" spans="1:21">
      <c r="A4" t="s">
        <v>230</v>
      </c>
      <c r="B4" s="16"/>
      <c r="C4" s="16">
        <f>'FY 17 plan'!N124</f>
        <v>250331.00000000006</v>
      </c>
      <c r="D4" s="16">
        <f>'FY 18 plan'!C133</f>
        <v>610492.26666666684</v>
      </c>
      <c r="E4" s="16">
        <f>'FY 18 plan'!D133</f>
        <v>262784.66666666663</v>
      </c>
      <c r="F4" s="16">
        <f>'FY 18 plan'!E133</f>
        <v>273862.6966666666</v>
      </c>
      <c r="G4" s="16">
        <f>'FY 18 plan'!F133</f>
        <v>259169.66666666663</v>
      </c>
      <c r="H4" s="16">
        <f>'FY 18 plan'!G133</f>
        <v>259169.66666666663</v>
      </c>
      <c r="I4" s="16">
        <f>'FY 18 plan'!H133</f>
        <v>259169.66666666663</v>
      </c>
      <c r="J4" s="16">
        <f>'FY 18 plan'!I133</f>
        <v>259169.66666666663</v>
      </c>
      <c r="K4" s="16">
        <f>'FY 18 plan'!J133</f>
        <v>259169.66666666663</v>
      </c>
      <c r="L4" s="16">
        <f>'FY 18 plan'!K133</f>
        <v>262869.66666666663</v>
      </c>
      <c r="M4" s="16">
        <f>'FY 18 plan'!L133</f>
        <v>259169.66666666663</v>
      </c>
      <c r="N4" s="16">
        <f>'FY 18 plan'!M133</f>
        <v>259169.66666666663</v>
      </c>
      <c r="O4" s="16">
        <f>'FY 18 plan'!N133</f>
        <v>268629.03666666662</v>
      </c>
      <c r="P4" s="16">
        <f>SUM(B4:O4)</f>
        <v>3743156.9999999991</v>
      </c>
      <c r="Q4" s="16">
        <f>P4-'[1]cash flow'!$Q$4+'[1]cash flow'!$C$4</f>
        <v>0</v>
      </c>
      <c r="S4" t="s">
        <v>233</v>
      </c>
      <c r="T4" s="200" t="s">
        <v>234</v>
      </c>
      <c r="U4" t="s">
        <v>235</v>
      </c>
    </row>
    <row r="5" spans="1:21">
      <c r="A5" t="s">
        <v>231</v>
      </c>
      <c r="B5" s="16"/>
      <c r="C5" s="16">
        <v>0</v>
      </c>
      <c r="D5" s="16">
        <f>$T$3*U5</f>
        <v>0</v>
      </c>
      <c r="E5" s="16">
        <f>$T$3*U6</f>
        <v>990469.68596546375</v>
      </c>
      <c r="F5" s="16">
        <f>$T$3*U7</f>
        <v>1280940.3324359432</v>
      </c>
      <c r="G5" s="16">
        <f>$T$3*U8</f>
        <v>813947.55984034075</v>
      </c>
      <c r="H5" s="16">
        <f>$T$3*U9</f>
        <v>66475.340598557174</v>
      </c>
      <c r="I5" s="16">
        <f>$T$3*U10</f>
        <v>68197.259500040294</v>
      </c>
      <c r="J5" s="16">
        <f>$T$3*U11</f>
        <v>39127.01734972222</v>
      </c>
      <c r="K5" s="16">
        <f>$T$3*U12</f>
        <v>209944.08584064693</v>
      </c>
      <c r="L5" s="16">
        <f>$T$3*U13</f>
        <v>23724.718469285726</v>
      </c>
      <c r="M5" s="16">
        <v>0</v>
      </c>
      <c r="N5" s="16">
        <v>0</v>
      </c>
      <c r="O5" s="16">
        <v>0</v>
      </c>
      <c r="P5" s="16">
        <f>SUM(B5:O5)</f>
        <v>3492826</v>
      </c>
      <c r="Q5" s="16">
        <f>P5-'[1]cash flow'!$Q$5</f>
        <v>0</v>
      </c>
      <c r="R5" s="202">
        <v>42668</v>
      </c>
      <c r="S5" s="16">
        <v>3089329</v>
      </c>
      <c r="T5" s="16">
        <f>0</f>
        <v>0</v>
      </c>
      <c r="U5" s="204">
        <f>T5/$S$5</f>
        <v>0</v>
      </c>
    </row>
    <row r="6" spans="1:21">
      <c r="A6" s="205" t="s">
        <v>238</v>
      </c>
      <c r="B6" s="16"/>
      <c r="C6" s="16">
        <f>B12-C4+C5</f>
        <v>1990501</v>
      </c>
      <c r="D6" s="16">
        <f t="shared" ref="D6:O6" si="1">C12-D4+D5</f>
        <v>1380008.7333333332</v>
      </c>
      <c r="E6" s="16">
        <f t="shared" si="1"/>
        <v>2013684.7526321304</v>
      </c>
      <c r="F6" s="16">
        <f t="shared" si="1"/>
        <v>3020762.3884014068</v>
      </c>
      <c r="G6" s="16">
        <f t="shared" si="1"/>
        <v>3575540.2815750809</v>
      </c>
      <c r="H6" s="16">
        <f t="shared" si="1"/>
        <v>3341405.9555069716</v>
      </c>
      <c r="I6" s="16">
        <f t="shared" si="1"/>
        <v>3150433.5483403453</v>
      </c>
      <c r="J6" s="16">
        <f t="shared" si="1"/>
        <v>2930390.8990234011</v>
      </c>
      <c r="K6" s="16">
        <f t="shared" si="1"/>
        <v>2881165.3181973817</v>
      </c>
      <c r="L6" s="16">
        <f t="shared" si="1"/>
        <v>2642020.370000001</v>
      </c>
      <c r="M6" s="16">
        <f t="shared" si="1"/>
        <v>2382850.7033333345</v>
      </c>
      <c r="N6" s="16">
        <f t="shared" si="1"/>
        <v>2123681.036666668</v>
      </c>
      <c r="O6" s="16">
        <f t="shared" si="1"/>
        <v>1855052.0000000014</v>
      </c>
      <c r="P6" s="16"/>
      <c r="Q6" s="16"/>
      <c r="R6" s="202">
        <f>R5+30</f>
        <v>42698</v>
      </c>
      <c r="S6" s="16">
        <v>2213280</v>
      </c>
      <c r="T6" s="16">
        <f>S5-S6</f>
        <v>876049</v>
      </c>
      <c r="U6" s="204">
        <f t="shared" ref="U6:U13" si="2">T6/$S$5</f>
        <v>0.2835725816188564</v>
      </c>
    </row>
    <row r="7" spans="1:21">
      <c r="A7" s="21" t="s">
        <v>237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02">
        <f t="shared" ref="R7:R13" si="3">R6+30</f>
        <v>42728</v>
      </c>
      <c r="S7" s="16">
        <v>1080316</v>
      </c>
      <c r="T7" s="16">
        <f t="shared" ref="T7:T13" si="4">S6-S7</f>
        <v>1132964</v>
      </c>
      <c r="U7" s="204">
        <f t="shared" si="2"/>
        <v>0.36673465338266009</v>
      </c>
    </row>
    <row r="8" spans="1:21" ht="15.75">
      <c r="A8" s="9" t="s">
        <v>23</v>
      </c>
      <c r="B8" s="16"/>
      <c r="C8" s="16"/>
      <c r="D8" s="16">
        <f>'Steve''s Cash analysis'!E13</f>
        <v>79009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f t="shared" ref="P8:P11" si="5">SUM(B8:O8)</f>
        <v>79009</v>
      </c>
      <c r="Q8" s="16">
        <v>0</v>
      </c>
      <c r="R8" s="202">
        <f t="shared" si="3"/>
        <v>42758</v>
      </c>
      <c r="S8" s="16">
        <v>360397</v>
      </c>
      <c r="T8" s="16">
        <f t="shared" si="4"/>
        <v>719919</v>
      </c>
      <c r="U8" s="204">
        <f t="shared" si="2"/>
        <v>0.23303409899042801</v>
      </c>
    </row>
    <row r="9" spans="1:21" ht="15.75">
      <c r="A9" s="9" t="s">
        <v>66</v>
      </c>
      <c r="B9" s="16"/>
      <c r="C9" s="16"/>
      <c r="D9" s="16">
        <f>'Steve''s Cash analysis'!E15</f>
        <v>15000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5"/>
        <v>15000</v>
      </c>
      <c r="Q9" s="16">
        <v>0</v>
      </c>
      <c r="R9" s="202">
        <f t="shared" si="3"/>
        <v>42788</v>
      </c>
      <c r="S9" s="16">
        <v>301601</v>
      </c>
      <c r="T9" s="16">
        <f t="shared" si="4"/>
        <v>58796</v>
      </c>
      <c r="U9" s="204">
        <f t="shared" si="2"/>
        <v>1.9031964546346473E-2</v>
      </c>
    </row>
    <row r="10" spans="1:21" ht="15.75">
      <c r="A10" s="9" t="s">
        <v>68</v>
      </c>
      <c r="B10" s="16"/>
      <c r="C10" s="16"/>
      <c r="E10" s="16"/>
      <c r="F10" s="16"/>
      <c r="G10" s="16">
        <f>'Steve''s Cash analysis'!E16</f>
        <v>25600</v>
      </c>
      <c r="H10" s="16"/>
      <c r="I10" s="16"/>
      <c r="J10" s="16"/>
      <c r="K10" s="16"/>
      <c r="L10" s="16"/>
      <c r="M10" s="16"/>
      <c r="N10" s="16"/>
      <c r="O10" s="16"/>
      <c r="P10" s="16">
        <f t="shared" si="5"/>
        <v>25600</v>
      </c>
      <c r="Q10" s="16">
        <v>0</v>
      </c>
      <c r="R10" s="202">
        <f t="shared" si="3"/>
        <v>42818</v>
      </c>
      <c r="S10" s="16">
        <v>241282</v>
      </c>
      <c r="T10" s="16">
        <f t="shared" si="4"/>
        <v>60319</v>
      </c>
      <c r="U10" s="204">
        <f t="shared" si="2"/>
        <v>1.9524951858478006E-2</v>
      </c>
    </row>
    <row r="11" spans="1:21" ht="15.75">
      <c r="A11" s="9" t="s">
        <v>69</v>
      </c>
      <c r="B11" s="16"/>
      <c r="C11" s="16"/>
      <c r="E11" s="16"/>
      <c r="F11" s="16"/>
      <c r="G11" s="16">
        <f>'Steve''s Cash analysis'!E17</f>
        <v>15840</v>
      </c>
      <c r="H11" s="16"/>
      <c r="I11" s="16"/>
      <c r="J11" s="16"/>
      <c r="K11" s="16"/>
      <c r="L11" s="16"/>
      <c r="M11" s="16"/>
      <c r="N11" s="16"/>
      <c r="O11" s="16"/>
      <c r="P11" s="16">
        <f t="shared" si="5"/>
        <v>15840</v>
      </c>
      <c r="Q11" s="16">
        <v>0</v>
      </c>
      <c r="R11" s="202">
        <f t="shared" si="3"/>
        <v>42848</v>
      </c>
      <c r="S11" s="16">
        <v>206675</v>
      </c>
      <c r="T11" s="16">
        <f t="shared" si="4"/>
        <v>34607</v>
      </c>
      <c r="U11" s="204">
        <f t="shared" si="2"/>
        <v>1.120210893692449E-2</v>
      </c>
    </row>
    <row r="12" spans="1:21" ht="15.75">
      <c r="A12" s="12" t="s">
        <v>239</v>
      </c>
      <c r="B12" s="16">
        <v>2240832</v>
      </c>
      <c r="C12" s="16">
        <f>C6-C8-C9-C10-C11</f>
        <v>1990501</v>
      </c>
      <c r="D12" s="16">
        <f t="shared" ref="D12:O12" si="6">D6-D8-D9-D10-D11</f>
        <v>1285999.7333333332</v>
      </c>
      <c r="E12" s="16">
        <f t="shared" si="6"/>
        <v>2013684.7526321304</v>
      </c>
      <c r="F12" s="16">
        <f t="shared" si="6"/>
        <v>3020762.3884014068</v>
      </c>
      <c r="G12" s="16">
        <f t="shared" si="6"/>
        <v>3534100.2815750809</v>
      </c>
      <c r="H12" s="16">
        <f t="shared" si="6"/>
        <v>3341405.9555069716</v>
      </c>
      <c r="I12" s="16">
        <f t="shared" si="6"/>
        <v>3150433.5483403453</v>
      </c>
      <c r="J12" s="16">
        <f t="shared" si="6"/>
        <v>2930390.8990234011</v>
      </c>
      <c r="K12" s="16">
        <f t="shared" si="6"/>
        <v>2881165.3181973817</v>
      </c>
      <c r="L12" s="16">
        <f t="shared" si="6"/>
        <v>2642020.370000001</v>
      </c>
      <c r="M12" s="16">
        <f t="shared" si="6"/>
        <v>2382850.7033333345</v>
      </c>
      <c r="N12" s="16">
        <f t="shared" si="6"/>
        <v>2123681.036666668</v>
      </c>
      <c r="O12" s="16">
        <f t="shared" si="6"/>
        <v>1855052.0000000014</v>
      </c>
      <c r="P12" s="16"/>
      <c r="Q12" s="16"/>
      <c r="R12" s="202">
        <f t="shared" si="3"/>
        <v>42878</v>
      </c>
      <c r="S12" s="16">
        <v>20984</v>
      </c>
      <c r="T12" s="16">
        <f t="shared" si="4"/>
        <v>185691</v>
      </c>
      <c r="U12" s="204">
        <f t="shared" si="2"/>
        <v>6.0107227168100255E-2</v>
      </c>
    </row>
    <row r="13" spans="1:21" ht="15.75">
      <c r="A13" s="1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02">
        <f t="shared" si="3"/>
        <v>42908</v>
      </c>
      <c r="S13" s="16">
        <v>0</v>
      </c>
      <c r="T13" s="16">
        <f t="shared" si="4"/>
        <v>20984</v>
      </c>
      <c r="U13" s="204">
        <f t="shared" si="2"/>
        <v>6.7924134982062451E-3</v>
      </c>
    </row>
    <row r="14" spans="1:21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02"/>
      <c r="T14" s="16">
        <f>SUM(T5:T13)</f>
        <v>3089329</v>
      </c>
      <c r="U14" s="204">
        <f>SUM(U5:U13)</f>
        <v>1</v>
      </c>
    </row>
    <row r="15" spans="1:21" ht="46.5">
      <c r="B15" s="16"/>
      <c r="C15" s="16"/>
      <c r="D15" s="16"/>
      <c r="E15" s="16"/>
      <c r="F15" s="203" t="s">
        <v>24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202"/>
    </row>
    <row r="16" spans="1:21">
      <c r="B16" s="202">
        <f>B2</f>
        <v>42962</v>
      </c>
      <c r="C16" s="202">
        <f t="shared" ref="C16:O16" si="7">C2</f>
        <v>42992</v>
      </c>
      <c r="D16" s="202">
        <f t="shared" si="7"/>
        <v>43022</v>
      </c>
      <c r="E16" s="202">
        <f t="shared" si="7"/>
        <v>43052</v>
      </c>
      <c r="F16" s="202">
        <f t="shared" si="7"/>
        <v>43082</v>
      </c>
      <c r="G16" s="202">
        <f t="shared" si="7"/>
        <v>43112</v>
      </c>
      <c r="H16" s="202">
        <f t="shared" si="7"/>
        <v>43142</v>
      </c>
      <c r="I16" s="202">
        <f t="shared" si="7"/>
        <v>43172</v>
      </c>
      <c r="J16" s="202">
        <f t="shared" si="7"/>
        <v>43202</v>
      </c>
      <c r="K16" s="202">
        <f t="shared" si="7"/>
        <v>43232</v>
      </c>
      <c r="L16" s="202">
        <f t="shared" si="7"/>
        <v>43262</v>
      </c>
      <c r="M16" s="202">
        <f t="shared" si="7"/>
        <v>43292</v>
      </c>
      <c r="N16" s="202">
        <f t="shared" si="7"/>
        <v>43322</v>
      </c>
      <c r="O16" s="202">
        <f t="shared" si="7"/>
        <v>43352</v>
      </c>
      <c r="P16" t="s">
        <v>232</v>
      </c>
      <c r="Q16" s="16"/>
      <c r="R16" s="202"/>
    </row>
    <row r="17" spans="1:21">
      <c r="A17" t="s">
        <v>229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02"/>
      <c r="S17" t="s">
        <v>236</v>
      </c>
      <c r="T17" s="16">
        <v>315200</v>
      </c>
    </row>
    <row r="18" spans="1:21" ht="75">
      <c r="A18" s="6" t="s">
        <v>240</v>
      </c>
      <c r="B18" s="16"/>
      <c r="C18" s="16"/>
      <c r="D18" s="16">
        <f>25383/12</f>
        <v>2115.25</v>
      </c>
      <c r="E18" s="16">
        <f t="shared" ref="E18:O18" si="8">25383/12</f>
        <v>2115.25</v>
      </c>
      <c r="F18" s="16">
        <f t="shared" si="8"/>
        <v>2115.25</v>
      </c>
      <c r="G18" s="16">
        <f t="shared" si="8"/>
        <v>2115.25</v>
      </c>
      <c r="H18" s="16">
        <f t="shared" si="8"/>
        <v>2115.25</v>
      </c>
      <c r="I18" s="16">
        <f t="shared" si="8"/>
        <v>2115.25</v>
      </c>
      <c r="J18" s="16">
        <f t="shared" si="8"/>
        <v>2115.25</v>
      </c>
      <c r="K18" s="16">
        <f t="shared" si="8"/>
        <v>2115.25</v>
      </c>
      <c r="L18" s="16">
        <f t="shared" si="8"/>
        <v>2115.25</v>
      </c>
      <c r="M18" s="16">
        <f t="shared" si="8"/>
        <v>2115.25</v>
      </c>
      <c r="N18" s="16">
        <f t="shared" si="8"/>
        <v>2115.25</v>
      </c>
      <c r="O18" s="16">
        <f t="shared" si="8"/>
        <v>2115.25</v>
      </c>
      <c r="P18" s="16">
        <f>SUM(B18:O18)</f>
        <v>25383</v>
      </c>
      <c r="Q18" s="16">
        <v>0</v>
      </c>
      <c r="S18" t="s">
        <v>233</v>
      </c>
      <c r="T18" s="200" t="s">
        <v>234</v>
      </c>
      <c r="U18" t="s">
        <v>235</v>
      </c>
    </row>
    <row r="19" spans="1:21">
      <c r="A19" t="s">
        <v>231</v>
      </c>
      <c r="B19" s="16"/>
      <c r="C19" s="16">
        <v>0</v>
      </c>
      <c r="D19" s="16">
        <f>$T$3*U19</f>
        <v>0</v>
      </c>
      <c r="E19" s="16">
        <f>$T$17*U20</f>
        <v>89382.077726263538</v>
      </c>
      <c r="F19" s="16">
        <f>$T$17*U21</f>
        <v>115594.76274621446</v>
      </c>
      <c r="G19" s="16">
        <f>$T$17*U22</f>
        <v>73452.348001782913</v>
      </c>
      <c r="H19" s="16">
        <f>$T$17*U23</f>
        <v>5998.8752250084081</v>
      </c>
      <c r="I19" s="16">
        <f>$T$17*U24</f>
        <v>6154.2648257922674</v>
      </c>
      <c r="J19" s="16">
        <f>$T$17*U25</f>
        <v>3530.9047369185992</v>
      </c>
      <c r="K19" s="16">
        <f>$T$17*U26</f>
        <v>18945.7980033852</v>
      </c>
      <c r="L19" s="16">
        <f>$T$17*U27</f>
        <v>2140.9687346346086</v>
      </c>
      <c r="M19" s="16">
        <v>0</v>
      </c>
      <c r="N19" s="16">
        <v>0</v>
      </c>
      <c r="O19" s="16">
        <v>0</v>
      </c>
      <c r="P19" s="16">
        <f t="shared" ref="P19:P21" si="9">SUM(B19:O19)</f>
        <v>315200</v>
      </c>
      <c r="Q19" s="16">
        <v>0</v>
      </c>
      <c r="R19" s="202">
        <v>42668</v>
      </c>
      <c r="S19" s="16">
        <v>3089329</v>
      </c>
      <c r="T19" s="16">
        <f>0</f>
        <v>0</v>
      </c>
      <c r="U19" s="204">
        <f>T19/$S$5</f>
        <v>0</v>
      </c>
    </row>
    <row r="20" spans="1:21" ht="30">
      <c r="A20" s="6" t="s">
        <v>256</v>
      </c>
      <c r="B20" s="16"/>
      <c r="C20" s="16">
        <f>(228000-98593-$B$20)/2</f>
        <v>64703.5</v>
      </c>
      <c r="D20" s="16">
        <f>(228000-98593-$B$20)/2</f>
        <v>64703.5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9"/>
        <v>129407</v>
      </c>
      <c r="Q20" s="16">
        <v>0</v>
      </c>
      <c r="R20" s="202">
        <f>R19+30</f>
        <v>42698</v>
      </c>
      <c r="S20" s="16">
        <v>2213280</v>
      </c>
      <c r="T20" s="16">
        <f>S19-S20</f>
        <v>876049</v>
      </c>
      <c r="U20" s="204">
        <f t="shared" ref="U20:U27" si="10">T20/$S$5</f>
        <v>0.2835725816188564</v>
      </c>
    </row>
    <row r="21" spans="1:21" ht="15.75">
      <c r="A21" s="9" t="s">
        <v>241</v>
      </c>
      <c r="B21" s="16"/>
      <c r="C21" s="16"/>
      <c r="D21" s="16"/>
      <c r="E21" s="16">
        <v>0</v>
      </c>
      <c r="F21" s="16">
        <v>0</v>
      </c>
      <c r="G21" s="16">
        <v>0</v>
      </c>
      <c r="H21" s="16">
        <v>0</v>
      </c>
      <c r="I21" s="16">
        <v>114045</v>
      </c>
      <c r="J21" s="16">
        <f t="shared" ref="J21" si="11">222134/3</f>
        <v>74044.666666666672</v>
      </c>
      <c r="K21" s="16">
        <v>74045</v>
      </c>
      <c r="L21" s="16"/>
      <c r="M21" s="16"/>
      <c r="N21" s="16"/>
      <c r="O21" s="16"/>
      <c r="P21" s="16">
        <f t="shared" si="9"/>
        <v>262134.66666666669</v>
      </c>
      <c r="Q21" s="16">
        <f>P21-222135</f>
        <v>39999.666666666686</v>
      </c>
      <c r="R21" s="202">
        <f t="shared" ref="R21:R27" si="12">R20+30</f>
        <v>42728</v>
      </c>
      <c r="S21" s="16">
        <v>1080316</v>
      </c>
      <c r="T21" s="16">
        <f t="shared" ref="T21:T27" si="13">S20-S21</f>
        <v>1132964</v>
      </c>
      <c r="U21" s="204">
        <f t="shared" si="10"/>
        <v>0.36673465338266009</v>
      </c>
    </row>
    <row r="22" spans="1:21" ht="15.75">
      <c r="A22" s="12" t="s">
        <v>239</v>
      </c>
      <c r="B22" s="16">
        <v>985160</v>
      </c>
      <c r="C22" s="16">
        <f>B22-C18+C19-C20-C21</f>
        <v>920456.5</v>
      </c>
      <c r="D22" s="16">
        <f t="shared" ref="D22:O22" si="14">C22-D18+D19-D20-D21</f>
        <v>853637.75</v>
      </c>
      <c r="E22" s="16">
        <f t="shared" si="14"/>
        <v>940904.57772626355</v>
      </c>
      <c r="F22" s="16">
        <f t="shared" si="14"/>
        <v>1054384.090472478</v>
      </c>
      <c r="G22" s="16">
        <f t="shared" si="14"/>
        <v>1125721.188474261</v>
      </c>
      <c r="H22" s="16">
        <f t="shared" si="14"/>
        <v>1129604.8136992694</v>
      </c>
      <c r="I22" s="16">
        <f t="shared" si="14"/>
        <v>1019598.8285250617</v>
      </c>
      <c r="J22" s="16">
        <f t="shared" si="14"/>
        <v>946969.81659531372</v>
      </c>
      <c r="K22" s="16">
        <f t="shared" si="14"/>
        <v>889755.36459869891</v>
      </c>
      <c r="L22" s="16">
        <f t="shared" si="14"/>
        <v>889781.08333333349</v>
      </c>
      <c r="M22" s="16">
        <f t="shared" si="14"/>
        <v>887665.83333333349</v>
      </c>
      <c r="N22" s="16">
        <f t="shared" si="14"/>
        <v>885550.58333333349</v>
      </c>
      <c r="O22" s="16">
        <f t="shared" si="14"/>
        <v>883435.33333333349</v>
      </c>
      <c r="P22" s="16"/>
      <c r="Q22" s="16"/>
      <c r="R22" s="202">
        <f t="shared" si="12"/>
        <v>42758</v>
      </c>
      <c r="S22" s="16">
        <v>360397</v>
      </c>
      <c r="T22" s="16">
        <f t="shared" si="13"/>
        <v>719919</v>
      </c>
      <c r="U22" s="204">
        <f t="shared" si="10"/>
        <v>0.23303409899042801</v>
      </c>
    </row>
    <row r="23" spans="1:21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02">
        <f t="shared" si="12"/>
        <v>42788</v>
      </c>
      <c r="S23" s="16">
        <v>301601</v>
      </c>
      <c r="T23" s="16">
        <f t="shared" si="13"/>
        <v>58796</v>
      </c>
      <c r="U23" s="204">
        <f t="shared" si="10"/>
        <v>1.9031964546346473E-2</v>
      </c>
    </row>
    <row r="24" spans="1:2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2">
        <f t="shared" si="12"/>
        <v>42818</v>
      </c>
      <c r="S24" s="16">
        <v>241282</v>
      </c>
      <c r="T24" s="16">
        <f t="shared" si="13"/>
        <v>60319</v>
      </c>
      <c r="U24" s="204">
        <f t="shared" si="10"/>
        <v>1.9524951858478006E-2</v>
      </c>
    </row>
    <row r="25" spans="1:21" ht="46.5">
      <c r="B25" s="16"/>
      <c r="C25" s="16"/>
      <c r="D25" s="16"/>
      <c r="E25" s="16"/>
      <c r="F25" s="203" t="s">
        <v>242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02">
        <f t="shared" si="12"/>
        <v>42848</v>
      </c>
      <c r="S25" s="16">
        <v>206675</v>
      </c>
      <c r="T25" s="16">
        <f t="shared" si="13"/>
        <v>34607</v>
      </c>
      <c r="U25" s="204">
        <f t="shared" si="10"/>
        <v>1.120210893692449E-2</v>
      </c>
    </row>
    <row r="26" spans="1:21">
      <c r="B26" s="202">
        <f t="shared" ref="B26:O26" si="15">B16</f>
        <v>42962</v>
      </c>
      <c r="C26" s="202">
        <f t="shared" si="15"/>
        <v>42992</v>
      </c>
      <c r="D26" s="202">
        <f t="shared" si="15"/>
        <v>43022</v>
      </c>
      <c r="E26" s="202">
        <f t="shared" si="15"/>
        <v>43052</v>
      </c>
      <c r="F26" s="202">
        <f t="shared" si="15"/>
        <v>43082</v>
      </c>
      <c r="G26" s="202">
        <f t="shared" si="15"/>
        <v>43112</v>
      </c>
      <c r="H26" s="202">
        <f t="shared" si="15"/>
        <v>43142</v>
      </c>
      <c r="I26" s="202">
        <f t="shared" si="15"/>
        <v>43172</v>
      </c>
      <c r="J26" s="202">
        <f t="shared" si="15"/>
        <v>43202</v>
      </c>
      <c r="K26" s="202">
        <f t="shared" si="15"/>
        <v>43232</v>
      </c>
      <c r="L26" s="202">
        <f t="shared" si="15"/>
        <v>43262</v>
      </c>
      <c r="M26" s="202">
        <f t="shared" si="15"/>
        <v>43292</v>
      </c>
      <c r="N26" s="202">
        <f t="shared" si="15"/>
        <v>43322</v>
      </c>
      <c r="O26" s="202">
        <f t="shared" si="15"/>
        <v>43352</v>
      </c>
      <c r="P26" t="s">
        <v>232</v>
      </c>
      <c r="R26" s="202">
        <f t="shared" si="12"/>
        <v>42878</v>
      </c>
      <c r="S26" s="16">
        <v>20984</v>
      </c>
      <c r="T26" s="16">
        <f t="shared" si="13"/>
        <v>185691</v>
      </c>
      <c r="U26" s="204">
        <f t="shared" si="10"/>
        <v>6.0107227168100255E-2</v>
      </c>
    </row>
    <row r="27" spans="1:21">
      <c r="A27" t="s">
        <v>229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202">
        <f t="shared" si="12"/>
        <v>42908</v>
      </c>
      <c r="S27" s="16">
        <v>0</v>
      </c>
      <c r="T27" s="16">
        <f t="shared" si="13"/>
        <v>20984</v>
      </c>
      <c r="U27" s="204">
        <f t="shared" si="10"/>
        <v>6.7924134982062451E-3</v>
      </c>
    </row>
    <row r="28" spans="1:21">
      <c r="A28" t="s">
        <v>231</v>
      </c>
      <c r="B28" s="16"/>
      <c r="C28" s="16"/>
      <c r="D28" s="16">
        <v>232450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02"/>
      <c r="T28" s="16">
        <f>SUM(T19:T27)</f>
        <v>3089329</v>
      </c>
      <c r="U28" s="204">
        <f>SUM(U19:U27)</f>
        <v>1</v>
      </c>
    </row>
    <row r="29" spans="1:21">
      <c r="A29" s="6" t="s">
        <v>243</v>
      </c>
      <c r="B29" s="16"/>
      <c r="C29" s="16">
        <v>41667</v>
      </c>
      <c r="D29" s="16">
        <v>41667</v>
      </c>
      <c r="E29" s="16">
        <v>75000</v>
      </c>
      <c r="F29" s="16">
        <v>41667</v>
      </c>
      <c r="G29" s="16">
        <v>41667</v>
      </c>
      <c r="H29" s="16">
        <v>100000</v>
      </c>
      <c r="I29" s="16">
        <v>100000</v>
      </c>
      <c r="J29" s="16">
        <v>100000</v>
      </c>
      <c r="K29" s="16">
        <v>100000</v>
      </c>
      <c r="L29" s="16">
        <v>65000</v>
      </c>
      <c r="M29" s="16">
        <v>25000</v>
      </c>
      <c r="N29" s="16">
        <v>25000</v>
      </c>
      <c r="O29" s="16">
        <v>25000</v>
      </c>
      <c r="P29" s="16">
        <f t="shared" ref="P29:P32" si="16">SUM(B29:O29)</f>
        <v>781668</v>
      </c>
      <c r="Q29" s="16">
        <v>240000</v>
      </c>
      <c r="R29" s="16">
        <f>P29-Q29</f>
        <v>541668</v>
      </c>
    </row>
    <row r="30" spans="1:21" ht="15.75">
      <c r="A30" s="9" t="s">
        <v>244</v>
      </c>
      <c r="B30" s="16"/>
      <c r="C30" s="16">
        <f t="shared" ref="C30" si="17">200000/12</f>
        <v>16666.666666666668</v>
      </c>
      <c r="D30" s="16">
        <v>60000</v>
      </c>
      <c r="E30" s="16">
        <v>60000</v>
      </c>
      <c r="F30" s="16">
        <v>60000</v>
      </c>
      <c r="G30" s="16">
        <v>60000</v>
      </c>
      <c r="H30" s="16">
        <v>60000</v>
      </c>
      <c r="I30" s="16">
        <v>60000</v>
      </c>
      <c r="J30" s="16">
        <v>60000</v>
      </c>
      <c r="K30" s="16">
        <v>60000</v>
      </c>
      <c r="L30" s="16">
        <v>60000</v>
      </c>
      <c r="M30" s="16">
        <v>60000</v>
      </c>
      <c r="N30" s="16">
        <v>60000</v>
      </c>
      <c r="O30" s="16">
        <v>60000</v>
      </c>
      <c r="P30" s="16">
        <f t="shared" si="16"/>
        <v>736666.66666666674</v>
      </c>
      <c r="Q30" s="16">
        <v>520000</v>
      </c>
    </row>
    <row r="31" spans="1:21" ht="15.75">
      <c r="A31" s="9" t="s">
        <v>245</v>
      </c>
      <c r="B31" s="16"/>
      <c r="C31" s="16"/>
      <c r="D31" s="16"/>
      <c r="E31" s="16">
        <v>200000</v>
      </c>
      <c r="F31" s="16"/>
      <c r="G31" s="16">
        <v>0</v>
      </c>
      <c r="H31" s="16">
        <f>(3000*550)/3</f>
        <v>550000</v>
      </c>
      <c r="I31" s="16">
        <f>(3000*550)/3</f>
        <v>550000</v>
      </c>
      <c r="J31" s="16">
        <v>550000</v>
      </c>
      <c r="K31" s="16"/>
      <c r="L31" s="16"/>
      <c r="M31" s="16"/>
      <c r="N31" s="16"/>
      <c r="O31" s="16"/>
      <c r="P31" s="16">
        <f t="shared" si="16"/>
        <v>1850000</v>
      </c>
      <c r="Q31" s="16">
        <v>200000</v>
      </c>
    </row>
    <row r="32" spans="1:21" ht="31.5">
      <c r="A32" s="15" t="s">
        <v>251</v>
      </c>
      <c r="B32" s="16"/>
      <c r="C32" s="16">
        <v>0</v>
      </c>
      <c r="D32" s="16">
        <v>28000</v>
      </c>
      <c r="E32" s="16">
        <f>(250000/11)</f>
        <v>22727.272727272728</v>
      </c>
      <c r="F32" s="16">
        <v>55000</v>
      </c>
      <c r="G32" s="16">
        <v>0</v>
      </c>
      <c r="H32" s="16">
        <v>0</v>
      </c>
      <c r="I32" s="16">
        <v>100000</v>
      </c>
      <c r="J32" s="16">
        <v>150000</v>
      </c>
      <c r="K32" s="16">
        <v>150000</v>
      </c>
      <c r="L32" s="16">
        <v>100000</v>
      </c>
      <c r="M32" s="16">
        <v>55000</v>
      </c>
      <c r="N32" s="16">
        <v>55000</v>
      </c>
      <c r="O32" s="16">
        <v>34273</v>
      </c>
      <c r="P32" s="16">
        <f t="shared" si="16"/>
        <v>750000.27272727271</v>
      </c>
      <c r="Q32" s="16">
        <v>350000</v>
      </c>
    </row>
    <row r="33" spans="1:17" ht="15.75">
      <c r="A33" s="9" t="s">
        <v>246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15.75">
      <c r="A34" s="12" t="s">
        <v>239</v>
      </c>
      <c r="B34" s="1">
        <v>889131</v>
      </c>
      <c r="C34" s="1">
        <f t="shared" ref="C34:O34" si="18">B34+C28-C29-C30-C31-C32-C33</f>
        <v>830797.33333333337</v>
      </c>
      <c r="D34" s="1">
        <f t="shared" si="18"/>
        <v>933580.33333333349</v>
      </c>
      <c r="E34" s="1">
        <f t="shared" si="18"/>
        <v>575853.06060606078</v>
      </c>
      <c r="F34" s="1">
        <f t="shared" si="18"/>
        <v>419186.06060606078</v>
      </c>
      <c r="G34" s="1">
        <f t="shared" si="18"/>
        <v>317519.06060606078</v>
      </c>
      <c r="H34" s="1">
        <f t="shared" si="18"/>
        <v>-392480.93939393922</v>
      </c>
      <c r="I34" s="1">
        <f t="shared" si="18"/>
        <v>-1202480.9393939392</v>
      </c>
      <c r="J34" s="1">
        <f t="shared" si="18"/>
        <v>-2062480.9393939392</v>
      </c>
      <c r="K34" s="1">
        <f t="shared" si="18"/>
        <v>-2372480.9393939395</v>
      </c>
      <c r="L34" s="1">
        <f t="shared" si="18"/>
        <v>-2597480.9393939395</v>
      </c>
      <c r="M34" s="1">
        <f t="shared" si="18"/>
        <v>-2737480.9393939395</v>
      </c>
      <c r="N34" s="1">
        <f t="shared" si="18"/>
        <v>-2877480.9393939395</v>
      </c>
      <c r="O34" s="1">
        <f t="shared" si="18"/>
        <v>-2996753.9393939395</v>
      </c>
      <c r="P34" s="16"/>
      <c r="Q34" s="16"/>
    </row>
    <row r="35" spans="1:17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A36" t="s">
        <v>247</v>
      </c>
      <c r="B36" s="16">
        <f>B12+B22+B34</f>
        <v>4115123</v>
      </c>
      <c r="C36" s="16">
        <f t="shared" ref="C36:O36" si="19">C12+C22+C34</f>
        <v>3741754.8333333335</v>
      </c>
      <c r="D36" s="16">
        <f t="shared" si="19"/>
        <v>3073217.8166666669</v>
      </c>
      <c r="E36" s="16">
        <f t="shared" si="19"/>
        <v>3530442.390964455</v>
      </c>
      <c r="F36" s="16">
        <f t="shared" si="19"/>
        <v>4494332.5394799458</v>
      </c>
      <c r="G36" s="16">
        <f t="shared" si="19"/>
        <v>4977340.5306554027</v>
      </c>
      <c r="H36" s="16">
        <f t="shared" si="19"/>
        <v>4078529.8298123013</v>
      </c>
      <c r="I36" s="16">
        <f t="shared" si="19"/>
        <v>2967551.437471468</v>
      </c>
      <c r="J36" s="16">
        <f t="shared" si="19"/>
        <v>1814879.7762247755</v>
      </c>
      <c r="K36" s="16">
        <f t="shared" si="19"/>
        <v>1398439.7434021411</v>
      </c>
      <c r="L36" s="16">
        <f t="shared" si="19"/>
        <v>934320.51393939508</v>
      </c>
      <c r="M36" s="16">
        <f t="shared" si="19"/>
        <v>533035.59727272857</v>
      </c>
      <c r="N36" s="16">
        <f t="shared" si="19"/>
        <v>131750.68060606206</v>
      </c>
      <c r="O36" s="1">
        <f t="shared" si="19"/>
        <v>-258266.60606060456</v>
      </c>
      <c r="P36" s="16"/>
      <c r="Q36" s="16"/>
    </row>
    <row r="37" spans="1:17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15.75">
      <c r="A38" s="206" t="s">
        <v>249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>
      <c r="A39" t="s">
        <v>248</v>
      </c>
      <c r="B39" s="16">
        <f t="shared" ref="B39:C39" si="20">368146+887385</f>
        <v>1255531</v>
      </c>
      <c r="C39" s="16">
        <f t="shared" si="20"/>
        <v>1255531</v>
      </c>
      <c r="D39" s="16">
        <f>368146+1182490</f>
        <v>1550636</v>
      </c>
      <c r="E39" s="16">
        <f t="shared" ref="E39:O39" si="21">368146+1182490</f>
        <v>1550636</v>
      </c>
      <c r="F39" s="16">
        <f t="shared" si="21"/>
        <v>1550636</v>
      </c>
      <c r="G39" s="16">
        <f t="shared" si="21"/>
        <v>1550636</v>
      </c>
      <c r="H39" s="16">
        <f t="shared" si="21"/>
        <v>1550636</v>
      </c>
      <c r="I39" s="16">
        <f t="shared" si="21"/>
        <v>1550636</v>
      </c>
      <c r="J39" s="16">
        <f t="shared" si="21"/>
        <v>1550636</v>
      </c>
      <c r="K39" s="16">
        <f t="shared" si="21"/>
        <v>1550636</v>
      </c>
      <c r="L39" s="16">
        <f t="shared" si="21"/>
        <v>1550636</v>
      </c>
      <c r="M39" s="16">
        <f t="shared" si="21"/>
        <v>1550636</v>
      </c>
      <c r="N39" s="16">
        <f t="shared" si="21"/>
        <v>1550636</v>
      </c>
      <c r="O39" s="16">
        <f t="shared" si="21"/>
        <v>1550636</v>
      </c>
      <c r="P39" s="16"/>
      <c r="Q39" s="16"/>
    </row>
    <row r="40" spans="1:17">
      <c r="A40" t="s">
        <v>250</v>
      </c>
      <c r="B40" s="16">
        <v>1100000</v>
      </c>
      <c r="C40" s="16">
        <f t="shared" ref="C40:O40" si="22">B40-C32</f>
        <v>1100000</v>
      </c>
      <c r="D40" s="16">
        <f t="shared" si="22"/>
        <v>1072000</v>
      </c>
      <c r="E40" s="16">
        <f t="shared" si="22"/>
        <v>1049272.7272727273</v>
      </c>
      <c r="F40" s="16">
        <f t="shared" si="22"/>
        <v>994272.72727272729</v>
      </c>
      <c r="G40" s="16">
        <f t="shared" si="22"/>
        <v>994272.72727272729</v>
      </c>
      <c r="H40" s="16">
        <f t="shared" si="22"/>
        <v>994272.72727272729</v>
      </c>
      <c r="I40" s="16">
        <f t="shared" si="22"/>
        <v>894272.72727272729</v>
      </c>
      <c r="J40" s="16">
        <f t="shared" si="22"/>
        <v>744272.72727272729</v>
      </c>
      <c r="K40" s="16">
        <f t="shared" si="22"/>
        <v>594272.72727272729</v>
      </c>
      <c r="L40" s="16">
        <f t="shared" si="22"/>
        <v>494272.72727272729</v>
      </c>
      <c r="M40" s="16">
        <f t="shared" si="22"/>
        <v>439272.72727272729</v>
      </c>
      <c r="N40" s="16">
        <f t="shared" si="22"/>
        <v>384272.72727272729</v>
      </c>
      <c r="O40" s="16">
        <f t="shared" si="22"/>
        <v>349999.72727272729</v>
      </c>
      <c r="P40" s="16"/>
      <c r="Q40" s="16"/>
    </row>
    <row r="41" spans="1:17" ht="45">
      <c r="A41" s="6" t="s">
        <v>252</v>
      </c>
      <c r="B41" s="16">
        <f>C4</f>
        <v>250331.00000000006</v>
      </c>
      <c r="C41" s="16">
        <v>0</v>
      </c>
      <c r="D41" s="16">
        <f>SUM(E4:O4)</f>
        <v>2882333.7333333325</v>
      </c>
      <c r="E41" s="16">
        <f>D41-E4</f>
        <v>2619549.066666666</v>
      </c>
      <c r="F41" s="16">
        <f t="shared" ref="F41:O41" si="23">E41-F4</f>
        <v>2345686.3699999992</v>
      </c>
      <c r="G41" s="16">
        <f t="shared" si="23"/>
        <v>2086516.7033333327</v>
      </c>
      <c r="H41" s="16">
        <f t="shared" si="23"/>
        <v>1827347.0366666662</v>
      </c>
      <c r="I41" s="16">
        <f t="shared" si="23"/>
        <v>1568177.3699999996</v>
      </c>
      <c r="J41" s="16">
        <f t="shared" si="23"/>
        <v>1309007.7033333331</v>
      </c>
      <c r="K41" s="16">
        <f t="shared" si="23"/>
        <v>1049838.0366666666</v>
      </c>
      <c r="L41" s="16">
        <f t="shared" si="23"/>
        <v>786968.37</v>
      </c>
      <c r="M41" s="16">
        <f t="shared" si="23"/>
        <v>527798.70333333337</v>
      </c>
      <c r="N41" s="16">
        <f t="shared" si="23"/>
        <v>268629.03666666674</v>
      </c>
      <c r="O41" s="16">
        <f t="shared" si="23"/>
        <v>0</v>
      </c>
      <c r="P41" s="16"/>
      <c r="Q41" s="16"/>
    </row>
    <row r="42" spans="1:17" ht="30">
      <c r="A42" s="6" t="s">
        <v>254</v>
      </c>
      <c r="B42" s="1">
        <f>B36-B39-B40-B41-500000</f>
        <v>1009261</v>
      </c>
      <c r="C42" s="1">
        <f t="shared" ref="C42:O42" si="24">C36-C39-C40-C41-500000</f>
        <v>886223.83333333349</v>
      </c>
      <c r="D42" s="1">
        <f t="shared" si="24"/>
        <v>-2931751.9166666656</v>
      </c>
      <c r="E42" s="1">
        <f t="shared" si="24"/>
        <v>-2189015.402974938</v>
      </c>
      <c r="F42" s="1">
        <f t="shared" si="24"/>
        <v>-896262.55779278069</v>
      </c>
      <c r="G42" s="1">
        <f t="shared" si="24"/>
        <v>-154084.89995065751</v>
      </c>
      <c r="H42" s="1">
        <f t="shared" si="24"/>
        <v>-793725.93412709213</v>
      </c>
      <c r="I42" s="1">
        <f t="shared" si="24"/>
        <v>-1545534.6598012589</v>
      </c>
      <c r="J42" s="1">
        <f t="shared" si="24"/>
        <v>-2289036.654381285</v>
      </c>
      <c r="K42" s="1">
        <f t="shared" si="24"/>
        <v>-2296307.0205372525</v>
      </c>
      <c r="L42" s="1">
        <f t="shared" si="24"/>
        <v>-2397556.5833333321</v>
      </c>
      <c r="M42" s="1">
        <f t="shared" si="24"/>
        <v>-2484671.8333333321</v>
      </c>
      <c r="N42" s="1">
        <f t="shared" si="24"/>
        <v>-2571787.0833333321</v>
      </c>
      <c r="O42" s="1">
        <f t="shared" si="24"/>
        <v>-2658902.3333333321</v>
      </c>
      <c r="P42" s="16"/>
      <c r="Q42" s="16">
        <v>500000</v>
      </c>
    </row>
    <row r="43" spans="1:17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>
        <f>SUM(Q8:Q42)</f>
        <v>1849999.6666666667</v>
      </c>
    </row>
    <row r="45" spans="1:17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</sheetData>
  <pageMargins left="0" right="0" top="0.25" bottom="0.2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24"/>
  <sheetViews>
    <sheetView topLeftCell="A64" workbookViewId="0">
      <selection sqref="A1:O124"/>
    </sheetView>
  </sheetViews>
  <sheetFormatPr defaultRowHeight="15"/>
  <cols>
    <col min="1" max="1" width="9.5703125" bestFit="1" customWidth="1"/>
    <col min="2" max="2" width="47.5703125" customWidth="1"/>
    <col min="3" max="3" width="10" customWidth="1"/>
    <col min="4" max="14" width="9.28515625" customWidth="1"/>
    <col min="15" max="15" width="13.28515625" customWidth="1"/>
  </cols>
  <sheetData>
    <row r="1" spans="1:15"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</row>
    <row r="2" spans="1:15">
      <c r="C2" s="29"/>
      <c r="D2" s="29"/>
      <c r="E2" s="28"/>
      <c r="F2" s="29"/>
      <c r="G2" s="29"/>
      <c r="H2" s="29"/>
      <c r="I2" s="29"/>
      <c r="J2" s="29"/>
      <c r="K2" s="29"/>
      <c r="L2" s="29"/>
      <c r="M2" s="27"/>
      <c r="N2" s="27"/>
    </row>
    <row r="3" spans="1:15">
      <c r="C3" s="29"/>
      <c r="D3" s="29"/>
      <c r="E3" s="28"/>
      <c r="F3" s="29"/>
      <c r="G3" s="29"/>
      <c r="H3" s="29"/>
      <c r="I3" s="29"/>
      <c r="J3" s="29"/>
      <c r="K3" s="29"/>
      <c r="L3" s="29"/>
      <c r="M3" s="27"/>
      <c r="N3" s="27"/>
    </row>
    <row r="4" spans="1:15">
      <c r="C4" s="29"/>
      <c r="D4" s="29"/>
      <c r="E4" s="28"/>
      <c r="F4" s="29"/>
      <c r="G4" s="29"/>
      <c r="H4" s="29"/>
      <c r="I4" s="29"/>
      <c r="J4" s="29"/>
      <c r="K4" s="29"/>
      <c r="L4" s="29"/>
      <c r="M4" s="27"/>
      <c r="N4" s="27"/>
    </row>
    <row r="5" spans="1:15">
      <c r="C5" s="29"/>
      <c r="D5" s="29"/>
      <c r="E5" s="30"/>
      <c r="F5" s="29"/>
      <c r="G5" s="29"/>
      <c r="H5" s="29"/>
      <c r="I5" s="29"/>
      <c r="J5" s="29"/>
      <c r="K5" s="29"/>
      <c r="L5" s="29"/>
      <c r="M5" s="27"/>
      <c r="N5" s="27"/>
    </row>
    <row r="6" spans="1:15" ht="15.75" thickBot="1">
      <c r="B6" s="31"/>
      <c r="C6" s="26">
        <v>1</v>
      </c>
      <c r="D6" s="26">
        <f>C6+1</f>
        <v>2</v>
      </c>
      <c r="E6" s="26">
        <f>D6+1</f>
        <v>3</v>
      </c>
      <c r="F6" s="26">
        <f>E6+1</f>
        <v>4</v>
      </c>
      <c r="G6" s="26">
        <f>F6+1</f>
        <v>5</v>
      </c>
      <c r="H6" s="26">
        <f>G6+1</f>
        <v>6</v>
      </c>
      <c r="I6" s="26">
        <v>7</v>
      </c>
      <c r="J6" s="26">
        <v>8</v>
      </c>
      <c r="K6" s="26">
        <v>9</v>
      </c>
      <c r="L6" s="26">
        <v>10</v>
      </c>
      <c r="M6" s="26">
        <v>11</v>
      </c>
      <c r="N6" s="26">
        <v>12</v>
      </c>
    </row>
    <row r="7" spans="1:15" ht="15.75" thickBot="1">
      <c r="A7">
        <v>10</v>
      </c>
      <c r="B7" s="32" t="s">
        <v>96</v>
      </c>
      <c r="C7" s="33">
        <v>42644</v>
      </c>
      <c r="D7" s="33">
        <v>42675</v>
      </c>
      <c r="E7" s="33">
        <v>42705</v>
      </c>
      <c r="F7" s="34">
        <v>42736</v>
      </c>
      <c r="G7" s="33">
        <v>42767</v>
      </c>
      <c r="H7" s="35">
        <v>42795</v>
      </c>
      <c r="I7" s="33">
        <v>42826</v>
      </c>
      <c r="J7" s="33">
        <v>42856</v>
      </c>
      <c r="K7" s="33">
        <v>42887</v>
      </c>
      <c r="L7" s="33">
        <v>42917</v>
      </c>
      <c r="M7" s="33">
        <v>42948</v>
      </c>
      <c r="N7" s="33">
        <v>42979</v>
      </c>
    </row>
    <row r="8" spans="1:15" ht="15.75" thickBot="1">
      <c r="A8" s="36">
        <v>36100</v>
      </c>
      <c r="B8" s="37"/>
      <c r="C8" s="38"/>
      <c r="D8" s="39"/>
      <c r="E8" s="39"/>
      <c r="F8" s="39"/>
      <c r="G8" s="40"/>
      <c r="H8" s="39"/>
      <c r="I8" s="39"/>
      <c r="J8" s="39"/>
      <c r="K8" s="39"/>
      <c r="L8" s="39"/>
      <c r="M8" s="39"/>
      <c r="N8" s="41"/>
    </row>
    <row r="9" spans="1:15" ht="15.75" thickBot="1">
      <c r="A9" s="42" t="s">
        <v>97</v>
      </c>
      <c r="B9" s="43" t="s">
        <v>98</v>
      </c>
      <c r="C9" s="44"/>
      <c r="D9" s="45"/>
      <c r="E9" s="46"/>
      <c r="F9" s="46"/>
      <c r="G9" s="47"/>
      <c r="H9" s="48"/>
      <c r="I9" s="47"/>
      <c r="J9" s="49"/>
      <c r="K9" s="49"/>
      <c r="L9" s="49"/>
      <c r="M9" s="49"/>
      <c r="N9" s="47"/>
    </row>
    <row r="10" spans="1:15" ht="15.75" thickBot="1">
      <c r="A10" s="36">
        <v>36310</v>
      </c>
      <c r="B10" s="50" t="s">
        <v>99</v>
      </c>
      <c r="C10" s="51"/>
      <c r="D10" s="39"/>
      <c r="E10" s="39"/>
      <c r="F10" s="39"/>
      <c r="G10" s="40"/>
      <c r="H10" s="39"/>
      <c r="I10" s="39"/>
      <c r="J10" s="39"/>
      <c r="K10" s="52"/>
      <c r="L10" s="52"/>
      <c r="M10" s="39"/>
      <c r="N10" s="41"/>
    </row>
    <row r="11" spans="1:15">
      <c r="A11">
        <v>1001</v>
      </c>
      <c r="B11" s="53" t="s">
        <v>100</v>
      </c>
      <c r="C11" s="54">
        <v>2258986</v>
      </c>
      <c r="D11" s="55"/>
      <c r="E11" s="55"/>
      <c r="F11" s="56"/>
      <c r="G11" s="54"/>
      <c r="H11" s="55"/>
      <c r="I11" s="54"/>
      <c r="J11" s="56"/>
      <c r="K11" s="56"/>
      <c r="L11" s="56"/>
      <c r="M11" s="56"/>
      <c r="N11" s="54"/>
    </row>
    <row r="12" spans="1:15">
      <c r="A12">
        <v>1010</v>
      </c>
      <c r="B12" s="53" t="s">
        <v>101</v>
      </c>
      <c r="C12" s="57">
        <v>154738</v>
      </c>
      <c r="D12" s="58"/>
      <c r="E12" s="58"/>
      <c r="F12" s="59"/>
      <c r="G12" s="57"/>
      <c r="H12" s="58"/>
      <c r="I12" s="57"/>
      <c r="J12" s="59"/>
      <c r="K12" s="59"/>
      <c r="L12" s="59"/>
      <c r="M12" s="59"/>
      <c r="N12" s="57"/>
    </row>
    <row r="13" spans="1:15">
      <c r="A13">
        <v>1012</v>
      </c>
      <c r="B13" s="53" t="s">
        <v>102</v>
      </c>
      <c r="C13" s="57">
        <v>675603</v>
      </c>
      <c r="D13" s="60"/>
      <c r="E13" s="60"/>
      <c r="F13" s="61"/>
      <c r="G13" s="62"/>
      <c r="H13" s="60"/>
      <c r="I13" s="63"/>
      <c r="J13" s="64"/>
      <c r="K13" s="64"/>
      <c r="L13" s="64"/>
      <c r="M13" s="64"/>
      <c r="N13" s="63"/>
    </row>
    <row r="14" spans="1:15" ht="15.75" thickBot="1">
      <c r="B14" s="65" t="s">
        <v>103</v>
      </c>
      <c r="C14" s="66"/>
      <c r="D14" s="67"/>
      <c r="E14" s="67"/>
      <c r="F14" s="68"/>
      <c r="G14" s="69"/>
      <c r="H14" s="70"/>
      <c r="I14" s="69"/>
      <c r="J14" s="68"/>
      <c r="K14" s="66"/>
      <c r="L14" s="68"/>
      <c r="M14" s="68"/>
      <c r="N14" s="69"/>
      <c r="O14" s="71"/>
    </row>
    <row r="15" spans="1:15" ht="15.75" thickBot="1">
      <c r="B15" s="72" t="s">
        <v>104</v>
      </c>
      <c r="C15" s="73">
        <f t="shared" ref="C15:N15" si="0">SUM(C9:C14)</f>
        <v>3089327</v>
      </c>
      <c r="D15" s="74">
        <f t="shared" si="0"/>
        <v>0</v>
      </c>
      <c r="E15" s="73">
        <f t="shared" si="0"/>
        <v>0</v>
      </c>
      <c r="F15" s="75">
        <f t="shared" si="0"/>
        <v>0</v>
      </c>
      <c r="G15" s="73">
        <f t="shared" si="0"/>
        <v>0</v>
      </c>
      <c r="H15" s="74">
        <f t="shared" si="0"/>
        <v>0</v>
      </c>
      <c r="I15" s="73">
        <f t="shared" si="0"/>
        <v>0</v>
      </c>
      <c r="J15" s="75">
        <f t="shared" si="0"/>
        <v>0</v>
      </c>
      <c r="K15" s="75">
        <f t="shared" si="0"/>
        <v>0</v>
      </c>
      <c r="L15" s="75">
        <f t="shared" si="0"/>
        <v>0</v>
      </c>
      <c r="M15" s="75">
        <f t="shared" si="0"/>
        <v>0</v>
      </c>
      <c r="N15" s="76">
        <f t="shared" si="0"/>
        <v>0</v>
      </c>
      <c r="O15" s="71"/>
    </row>
    <row r="16" spans="1:15" ht="15.75" thickBot="1">
      <c r="B16" s="77" t="s">
        <v>105</v>
      </c>
      <c r="C16" s="78"/>
      <c r="D16" s="79"/>
      <c r="E16" s="80"/>
      <c r="F16" s="81"/>
      <c r="G16" s="78"/>
      <c r="H16" s="79"/>
      <c r="I16" s="80"/>
      <c r="J16" s="82"/>
      <c r="K16" s="80"/>
      <c r="L16" s="82"/>
      <c r="M16" s="80"/>
      <c r="N16" s="82"/>
      <c r="O16" s="71"/>
    </row>
    <row r="17" spans="1:15" ht="15.75" thickBot="1">
      <c r="A17" s="36">
        <v>51100</v>
      </c>
      <c r="B17" s="50" t="s">
        <v>106</v>
      </c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71"/>
    </row>
    <row r="18" spans="1:15" ht="15.75" thickBot="1">
      <c r="A18">
        <v>1101</v>
      </c>
      <c r="B18" s="86" t="s">
        <v>107</v>
      </c>
      <c r="C18" s="87">
        <v>1333.33</v>
      </c>
      <c r="D18" s="87">
        <v>1333.33</v>
      </c>
      <c r="E18" s="87">
        <v>1333.33</v>
      </c>
      <c r="F18" s="88">
        <v>1333</v>
      </c>
      <c r="G18" s="88">
        <v>1333</v>
      </c>
      <c r="H18" s="88">
        <v>1333</v>
      </c>
      <c r="I18" s="88">
        <v>1333</v>
      </c>
      <c r="J18" s="88">
        <v>1333</v>
      </c>
      <c r="K18" s="88">
        <v>1333</v>
      </c>
      <c r="L18" s="88">
        <v>1333</v>
      </c>
      <c r="M18" s="88">
        <v>1333</v>
      </c>
      <c r="N18" s="89">
        <v>1336</v>
      </c>
      <c r="O18" s="71"/>
    </row>
    <row r="19" spans="1:15" ht="15.75" thickBot="1">
      <c r="A19" s="36">
        <v>51300</v>
      </c>
      <c r="B19" s="50" t="s">
        <v>108</v>
      </c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71"/>
    </row>
    <row r="20" spans="1:15">
      <c r="A20" s="90">
        <v>3100</v>
      </c>
      <c r="B20" s="91" t="s">
        <v>109</v>
      </c>
      <c r="C20" s="92">
        <v>808.33</v>
      </c>
      <c r="D20" s="92">
        <v>808.33</v>
      </c>
      <c r="E20" s="92">
        <v>808.33</v>
      </c>
      <c r="F20" s="93">
        <v>808.33</v>
      </c>
      <c r="G20" s="93">
        <v>808.33</v>
      </c>
      <c r="H20" s="93">
        <v>808.33</v>
      </c>
      <c r="I20" s="93">
        <v>808.33</v>
      </c>
      <c r="J20" s="93">
        <v>808.33</v>
      </c>
      <c r="K20" s="93">
        <v>808.33</v>
      </c>
      <c r="L20" s="93">
        <v>808.33</v>
      </c>
      <c r="M20" s="93">
        <v>808.33</v>
      </c>
      <c r="N20" s="92">
        <v>808.33</v>
      </c>
      <c r="O20" s="71"/>
    </row>
    <row r="21" spans="1:15">
      <c r="A21" s="94">
        <v>3101</v>
      </c>
      <c r="B21" s="53" t="s">
        <v>110</v>
      </c>
      <c r="C21" s="95">
        <v>3004.17</v>
      </c>
      <c r="D21" s="95">
        <v>3004.17</v>
      </c>
      <c r="E21" s="95">
        <v>3004.17</v>
      </c>
      <c r="F21" s="95">
        <v>3004.17</v>
      </c>
      <c r="G21" s="95">
        <v>3004.17</v>
      </c>
      <c r="H21" s="95">
        <v>3004.17</v>
      </c>
      <c r="I21" s="95">
        <v>3004.17</v>
      </c>
      <c r="J21" s="95">
        <v>3004.17</v>
      </c>
      <c r="K21" s="95">
        <v>3004.17</v>
      </c>
      <c r="L21" s="95">
        <v>3004.17</v>
      </c>
      <c r="M21" s="95">
        <v>3004.17</v>
      </c>
      <c r="N21" s="95">
        <v>3004.17</v>
      </c>
      <c r="O21" s="71"/>
    </row>
    <row r="22" spans="1:15">
      <c r="A22" s="90">
        <v>3103</v>
      </c>
      <c r="B22" s="96" t="s">
        <v>111</v>
      </c>
      <c r="C22" s="97">
        <v>3125</v>
      </c>
      <c r="D22" s="97">
        <v>3125</v>
      </c>
      <c r="E22" s="97">
        <v>3125</v>
      </c>
      <c r="F22" s="97">
        <v>3125</v>
      </c>
      <c r="G22" s="97">
        <v>3125</v>
      </c>
      <c r="H22" s="97">
        <v>3125</v>
      </c>
      <c r="I22" s="97">
        <v>3125</v>
      </c>
      <c r="J22" s="97">
        <v>3125</v>
      </c>
      <c r="K22" s="97">
        <v>3125</v>
      </c>
      <c r="L22" s="97">
        <v>3125</v>
      </c>
      <c r="M22" s="97">
        <v>3125</v>
      </c>
      <c r="N22" s="97">
        <v>3125</v>
      </c>
      <c r="O22" s="71"/>
    </row>
    <row r="23" spans="1:15">
      <c r="A23" s="90">
        <v>3104</v>
      </c>
      <c r="B23" s="98" t="s">
        <v>112</v>
      </c>
      <c r="C23" s="99">
        <v>500</v>
      </c>
      <c r="D23" s="100">
        <v>500</v>
      </c>
      <c r="E23" s="101">
        <v>500</v>
      </c>
      <c r="F23" s="102">
        <v>500</v>
      </c>
      <c r="G23" s="102">
        <v>500</v>
      </c>
      <c r="H23" s="102">
        <v>500</v>
      </c>
      <c r="I23" s="102">
        <v>500</v>
      </c>
      <c r="J23" s="102">
        <v>500</v>
      </c>
      <c r="K23" s="102">
        <v>500</v>
      </c>
      <c r="L23" s="99">
        <v>500</v>
      </c>
      <c r="M23" s="103">
        <v>500</v>
      </c>
      <c r="N23" s="63">
        <v>500</v>
      </c>
      <c r="O23" s="71"/>
    </row>
    <row r="24" spans="1:15">
      <c r="A24" s="90">
        <v>3105</v>
      </c>
      <c r="B24" s="104" t="s">
        <v>113</v>
      </c>
      <c r="C24" s="95">
        <v>774.45</v>
      </c>
      <c r="D24" s="105"/>
      <c r="E24" s="106">
        <v>3537.55</v>
      </c>
      <c r="F24" s="106"/>
      <c r="G24" s="95"/>
      <c r="H24" s="105"/>
      <c r="I24" s="107"/>
      <c r="J24" s="95"/>
      <c r="K24" s="107"/>
      <c r="L24" s="95"/>
      <c r="M24" s="108"/>
      <c r="N24" s="109">
        <v>3500</v>
      </c>
      <c r="O24" s="71"/>
    </row>
    <row r="25" spans="1:15">
      <c r="A25" s="90">
        <v>3111</v>
      </c>
      <c r="B25" s="53" t="s">
        <v>114</v>
      </c>
      <c r="C25" s="99">
        <v>833.33</v>
      </c>
      <c r="D25" s="95">
        <v>833.33</v>
      </c>
      <c r="E25" s="95">
        <v>833.33</v>
      </c>
      <c r="F25" s="95">
        <v>833.33</v>
      </c>
      <c r="G25" s="95">
        <v>833.33</v>
      </c>
      <c r="H25" s="95">
        <v>833.33</v>
      </c>
      <c r="I25" s="95">
        <v>833.33</v>
      </c>
      <c r="J25" s="95">
        <v>833.33</v>
      </c>
      <c r="K25" s="95">
        <v>833.33</v>
      </c>
      <c r="L25" s="95">
        <v>833.33</v>
      </c>
      <c r="M25" s="95">
        <v>833.33</v>
      </c>
      <c r="N25" s="95">
        <v>833.33</v>
      </c>
      <c r="O25" s="71"/>
    </row>
    <row r="26" spans="1:15">
      <c r="A26" s="90">
        <v>3201</v>
      </c>
      <c r="B26" s="53" t="s">
        <v>115</v>
      </c>
      <c r="C26" s="95">
        <v>1624.33</v>
      </c>
      <c r="D26" s="95">
        <v>1624.33</v>
      </c>
      <c r="E26" s="95">
        <v>1624.33</v>
      </c>
      <c r="F26" s="95">
        <v>1624.33</v>
      </c>
      <c r="G26" s="95">
        <v>1624.33</v>
      </c>
      <c r="H26" s="95">
        <v>1624.33</v>
      </c>
      <c r="I26" s="95">
        <v>1624.33</v>
      </c>
      <c r="J26" s="95">
        <v>1624.33</v>
      </c>
      <c r="K26" s="95">
        <v>1624.33</v>
      </c>
      <c r="L26" s="95">
        <v>1624.33</v>
      </c>
      <c r="M26" s="95">
        <v>1624.33</v>
      </c>
      <c r="N26" s="95">
        <v>1624.33</v>
      </c>
      <c r="O26" s="71"/>
    </row>
    <row r="27" spans="1:15">
      <c r="A27" s="90">
        <v>3202</v>
      </c>
      <c r="B27" s="53" t="s">
        <v>116</v>
      </c>
      <c r="C27" s="95"/>
      <c r="D27" s="105"/>
      <c r="E27" s="107"/>
      <c r="F27" s="106"/>
      <c r="G27" s="106"/>
      <c r="H27" s="106"/>
      <c r="I27" s="106"/>
      <c r="J27" s="106"/>
      <c r="K27" s="106">
        <v>4000</v>
      </c>
      <c r="L27" s="95"/>
      <c r="M27" s="108"/>
      <c r="N27" s="109"/>
      <c r="O27" s="71"/>
    </row>
    <row r="28" spans="1:15">
      <c r="A28" s="90">
        <v>3203</v>
      </c>
      <c r="B28" s="53" t="s">
        <v>117</v>
      </c>
      <c r="C28" s="99"/>
      <c r="D28" s="100"/>
      <c r="E28" s="101"/>
      <c r="F28" s="102"/>
      <c r="G28" s="102"/>
      <c r="H28" s="102"/>
      <c r="I28" s="102"/>
      <c r="J28" s="102"/>
      <c r="K28" s="102"/>
      <c r="L28" s="99"/>
      <c r="M28" s="103"/>
      <c r="N28" s="63">
        <v>650</v>
      </c>
      <c r="O28" s="71"/>
    </row>
    <row r="29" spans="1:15">
      <c r="A29" s="90">
        <v>4501</v>
      </c>
      <c r="B29" s="104" t="s">
        <v>118</v>
      </c>
      <c r="C29" s="110">
        <v>4891</v>
      </c>
      <c r="D29" s="110"/>
      <c r="E29" s="111"/>
      <c r="F29" s="99"/>
      <c r="G29" s="99"/>
      <c r="H29" s="99"/>
      <c r="I29" s="99"/>
      <c r="J29" s="99"/>
      <c r="K29" s="99"/>
      <c r="L29" s="110"/>
      <c r="M29" s="103"/>
      <c r="N29" s="63"/>
      <c r="O29" s="71"/>
    </row>
    <row r="30" spans="1:15">
      <c r="A30" s="90">
        <v>4801</v>
      </c>
      <c r="B30" s="98" t="s">
        <v>119</v>
      </c>
      <c r="C30" s="99">
        <v>416.67</v>
      </c>
      <c r="D30" s="99">
        <v>416.67</v>
      </c>
      <c r="E30" s="99">
        <v>416.67</v>
      </c>
      <c r="F30" s="99">
        <v>416.67</v>
      </c>
      <c r="G30" s="99">
        <v>416.67</v>
      </c>
      <c r="H30" s="99">
        <v>416.67</v>
      </c>
      <c r="I30" s="99">
        <v>416.67</v>
      </c>
      <c r="J30" s="99">
        <v>416.67</v>
      </c>
      <c r="K30" s="99">
        <v>416.67</v>
      </c>
      <c r="L30" s="99">
        <v>416.67</v>
      </c>
      <c r="M30" s="99">
        <v>416.67</v>
      </c>
      <c r="N30" s="99">
        <v>416.67</v>
      </c>
      <c r="O30" s="71"/>
    </row>
    <row r="31" spans="1:15">
      <c r="A31" s="112">
        <v>4902</v>
      </c>
      <c r="B31" s="98" t="s">
        <v>120</v>
      </c>
      <c r="C31" s="113">
        <v>4000</v>
      </c>
      <c r="D31" s="114"/>
      <c r="E31" s="115"/>
      <c r="F31" s="115"/>
      <c r="G31" s="113"/>
      <c r="H31" s="113"/>
      <c r="I31" s="113"/>
      <c r="J31" s="113"/>
      <c r="K31" s="113"/>
      <c r="L31" s="113"/>
      <c r="M31" s="108"/>
      <c r="N31" s="109"/>
      <c r="O31" s="71"/>
    </row>
    <row r="32" spans="1:15">
      <c r="A32" s="90">
        <v>4950</v>
      </c>
      <c r="B32" s="116" t="s">
        <v>121</v>
      </c>
      <c r="C32" s="92"/>
      <c r="D32" s="92">
        <v>3615</v>
      </c>
      <c r="E32" s="117"/>
      <c r="F32" s="93"/>
      <c r="G32" s="92"/>
      <c r="H32" s="92"/>
      <c r="I32" s="92"/>
      <c r="J32" s="92"/>
      <c r="K32" s="117"/>
      <c r="L32" s="92"/>
      <c r="M32" s="117"/>
      <c r="N32" s="92"/>
      <c r="O32" s="71"/>
    </row>
    <row r="33" spans="1:15" ht="15.75" thickBot="1">
      <c r="A33" s="90">
        <v>5103</v>
      </c>
      <c r="B33" s="86" t="s">
        <v>122</v>
      </c>
      <c r="C33" s="118">
        <v>300</v>
      </c>
      <c r="D33" s="119">
        <v>300</v>
      </c>
      <c r="E33" s="119">
        <v>300</v>
      </c>
      <c r="F33" s="119">
        <v>300</v>
      </c>
      <c r="G33" s="119">
        <v>300</v>
      </c>
      <c r="H33" s="119">
        <v>300</v>
      </c>
      <c r="I33" s="119">
        <v>300</v>
      </c>
      <c r="J33" s="119">
        <v>300</v>
      </c>
      <c r="K33" s="119">
        <v>300</v>
      </c>
      <c r="L33" s="119">
        <v>300</v>
      </c>
      <c r="M33" s="119">
        <v>300</v>
      </c>
      <c r="N33" s="119">
        <v>300</v>
      </c>
      <c r="O33" s="71"/>
    </row>
    <row r="34" spans="1:15" ht="15.75" thickBot="1">
      <c r="A34" s="36">
        <v>51400</v>
      </c>
      <c r="B34" s="50" t="s">
        <v>123</v>
      </c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71"/>
    </row>
    <row r="35" spans="1:15">
      <c r="A35" s="90">
        <v>3107</v>
      </c>
      <c r="B35" s="120" t="s">
        <v>124</v>
      </c>
      <c r="C35" s="99">
        <v>10000</v>
      </c>
      <c r="D35" s="100">
        <v>10000</v>
      </c>
      <c r="E35" s="101">
        <v>10000</v>
      </c>
      <c r="F35" s="102">
        <v>10000</v>
      </c>
      <c r="G35" s="102">
        <v>10000</v>
      </c>
      <c r="H35" s="102">
        <v>10000</v>
      </c>
      <c r="I35" s="102">
        <v>10000</v>
      </c>
      <c r="J35" s="102">
        <v>10000</v>
      </c>
      <c r="K35" s="102">
        <v>10000</v>
      </c>
      <c r="L35" s="99">
        <v>10000</v>
      </c>
      <c r="M35" s="103">
        <v>10000</v>
      </c>
      <c r="N35" s="63">
        <v>10000</v>
      </c>
      <c r="O35" s="71"/>
    </row>
    <row r="36" spans="1:15">
      <c r="A36" s="90"/>
      <c r="B36" s="121" t="s">
        <v>125</v>
      </c>
      <c r="C36" s="122"/>
      <c r="D36" s="123"/>
      <c r="E36" s="123"/>
      <c r="F36" s="124"/>
      <c r="G36" s="99"/>
      <c r="H36" s="99"/>
      <c r="I36" s="99"/>
      <c r="J36" s="99"/>
      <c r="K36" s="99"/>
      <c r="L36" s="99"/>
      <c r="M36" s="99"/>
      <c r="N36" s="125"/>
      <c r="O36" s="71"/>
    </row>
    <row r="37" spans="1:15" ht="15.75" thickBot="1">
      <c r="A37" s="90"/>
      <c r="B37" s="43" t="s">
        <v>126</v>
      </c>
      <c r="C37" s="126"/>
      <c r="D37" s="127"/>
      <c r="E37" s="127"/>
      <c r="F37" s="128"/>
      <c r="G37" s="97"/>
      <c r="H37" s="97"/>
      <c r="I37" s="97"/>
      <c r="J37" s="97"/>
      <c r="K37" s="97"/>
      <c r="L37" s="97"/>
      <c r="M37" s="97"/>
      <c r="N37" s="129"/>
      <c r="O37" s="71"/>
    </row>
    <row r="38" spans="1:15" ht="15.75" thickBot="1">
      <c r="A38" s="36">
        <v>51450</v>
      </c>
      <c r="B38" s="50" t="s">
        <v>127</v>
      </c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71"/>
    </row>
    <row r="39" spans="1:15" ht="15.75" thickBot="1">
      <c r="A39" s="90">
        <v>3113</v>
      </c>
      <c r="B39" s="130" t="s">
        <v>128</v>
      </c>
      <c r="C39" s="131">
        <v>2083.33</v>
      </c>
      <c r="D39" s="132">
        <v>2083.33</v>
      </c>
      <c r="E39" s="132">
        <v>2083.33</v>
      </c>
      <c r="F39" s="132">
        <v>2083.33</v>
      </c>
      <c r="G39" s="132">
        <v>2083.33</v>
      </c>
      <c r="H39" s="132">
        <v>2083.33</v>
      </c>
      <c r="I39" s="132">
        <v>2083.33</v>
      </c>
      <c r="J39" s="132">
        <v>2083.33</v>
      </c>
      <c r="K39" s="132">
        <v>2083.33</v>
      </c>
      <c r="L39" s="132">
        <v>2083.33</v>
      </c>
      <c r="M39" s="132">
        <v>2083.33</v>
      </c>
      <c r="N39" s="133">
        <v>2083.33</v>
      </c>
      <c r="O39" s="71"/>
    </row>
    <row r="40" spans="1:15" ht="15.75" thickBot="1">
      <c r="A40" s="36">
        <v>52900</v>
      </c>
      <c r="B40" s="50" t="s">
        <v>129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71"/>
    </row>
    <row r="41" spans="1:15">
      <c r="A41" s="94">
        <v>4907</v>
      </c>
      <c r="B41" s="104" t="s">
        <v>130</v>
      </c>
      <c r="C41" s="134">
        <v>6250</v>
      </c>
      <c r="D41" s="134">
        <v>6250</v>
      </c>
      <c r="E41" s="134">
        <v>6250</v>
      </c>
      <c r="F41" s="134">
        <v>6250</v>
      </c>
      <c r="G41" s="134">
        <v>6250</v>
      </c>
      <c r="H41" s="134">
        <v>6250</v>
      </c>
      <c r="I41" s="134">
        <v>6250</v>
      </c>
      <c r="J41" s="134">
        <v>6250</v>
      </c>
      <c r="K41" s="134">
        <v>6250</v>
      </c>
      <c r="L41" s="134">
        <v>6250</v>
      </c>
      <c r="M41" s="134">
        <v>6250</v>
      </c>
      <c r="N41" s="135">
        <v>6250</v>
      </c>
      <c r="O41" s="71"/>
    </row>
    <row r="42" spans="1:15" ht="15.75" thickBot="1">
      <c r="A42" s="94">
        <v>4914</v>
      </c>
      <c r="B42" s="104" t="s">
        <v>131</v>
      </c>
      <c r="C42" s="136">
        <v>12083.33</v>
      </c>
      <c r="D42" s="136">
        <v>12083.33</v>
      </c>
      <c r="E42" s="136">
        <v>12083.33</v>
      </c>
      <c r="F42" s="136">
        <v>12083.33</v>
      </c>
      <c r="G42" s="136">
        <v>12083.33</v>
      </c>
      <c r="H42" s="136">
        <v>12083.33</v>
      </c>
      <c r="I42" s="136">
        <v>12083.33</v>
      </c>
      <c r="J42" s="136">
        <v>12083.33</v>
      </c>
      <c r="K42" s="136">
        <v>12083.33</v>
      </c>
      <c r="L42" s="136">
        <v>12083.33</v>
      </c>
      <c r="M42" s="136">
        <v>12083.33</v>
      </c>
      <c r="N42" s="99">
        <v>12083.33</v>
      </c>
      <c r="O42" s="71"/>
    </row>
    <row r="43" spans="1:15" ht="15.75" thickBot="1">
      <c r="A43" s="36">
        <v>53100</v>
      </c>
      <c r="B43" s="50" t="s">
        <v>132</v>
      </c>
      <c r="C43" s="83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71"/>
    </row>
    <row r="44" spans="1:15">
      <c r="A44" s="90">
        <v>4307</v>
      </c>
      <c r="B44" s="120" t="s">
        <v>133</v>
      </c>
      <c r="C44" s="137">
        <v>12895</v>
      </c>
      <c r="D44" s="137">
        <v>12895</v>
      </c>
      <c r="E44" s="137">
        <v>12895</v>
      </c>
      <c r="F44" s="137">
        <v>12895</v>
      </c>
      <c r="G44" s="137">
        <v>12895</v>
      </c>
      <c r="H44" s="137">
        <v>12895</v>
      </c>
      <c r="I44" s="137">
        <v>12895</v>
      </c>
      <c r="J44" s="137">
        <v>12895</v>
      </c>
      <c r="K44" s="137">
        <v>12895</v>
      </c>
      <c r="L44" s="137">
        <v>12895</v>
      </c>
      <c r="M44" s="137">
        <v>12895</v>
      </c>
      <c r="N44" s="137">
        <v>12895</v>
      </c>
      <c r="O44" s="71"/>
    </row>
    <row r="45" spans="1:15">
      <c r="A45" s="90">
        <v>4308</v>
      </c>
      <c r="B45" s="104" t="s">
        <v>134</v>
      </c>
      <c r="C45" s="110">
        <v>1916.67</v>
      </c>
      <c r="D45" s="110">
        <v>1916.67</v>
      </c>
      <c r="E45" s="110">
        <v>1916.67</v>
      </c>
      <c r="F45" s="110">
        <v>1916.67</v>
      </c>
      <c r="G45" s="110">
        <v>1916.67</v>
      </c>
      <c r="H45" s="110">
        <v>1916.67</v>
      </c>
      <c r="I45" s="110">
        <v>1916.67</v>
      </c>
      <c r="J45" s="110">
        <v>1916.67</v>
      </c>
      <c r="K45" s="110">
        <v>1916.67</v>
      </c>
      <c r="L45" s="110">
        <v>1916.67</v>
      </c>
      <c r="M45" s="110">
        <v>1916.67</v>
      </c>
      <c r="N45" s="110">
        <v>1916.67</v>
      </c>
      <c r="O45" s="71"/>
    </row>
    <row r="46" spans="1:15">
      <c r="A46" s="90">
        <v>4309</v>
      </c>
      <c r="B46" s="104" t="s">
        <v>135</v>
      </c>
      <c r="C46" s="110">
        <v>475</v>
      </c>
      <c r="D46" s="110">
        <v>475</v>
      </c>
      <c r="E46" s="110">
        <v>475</v>
      </c>
      <c r="F46" s="110">
        <v>475</v>
      </c>
      <c r="G46" s="110">
        <v>475</v>
      </c>
      <c r="H46" s="110">
        <v>475</v>
      </c>
      <c r="I46" s="110">
        <v>475</v>
      </c>
      <c r="J46" s="110">
        <v>475</v>
      </c>
      <c r="K46" s="110">
        <v>475</v>
      </c>
      <c r="L46" s="110">
        <v>475</v>
      </c>
      <c r="M46" s="110">
        <v>475</v>
      </c>
      <c r="N46" s="110">
        <v>475</v>
      </c>
      <c r="O46" s="71"/>
    </row>
    <row r="47" spans="1:15" ht="15.75" thickBot="1">
      <c r="A47" s="90">
        <v>4310</v>
      </c>
      <c r="B47" s="138" t="s">
        <v>136</v>
      </c>
      <c r="C47" s="139">
        <v>7583.33</v>
      </c>
      <c r="D47" s="139">
        <v>7583.33</v>
      </c>
      <c r="E47" s="139">
        <v>7583.33</v>
      </c>
      <c r="F47" s="139">
        <v>7583.33</v>
      </c>
      <c r="G47" s="139">
        <v>7583.33</v>
      </c>
      <c r="H47" s="139">
        <v>7583.33</v>
      </c>
      <c r="I47" s="139">
        <v>7583.33</v>
      </c>
      <c r="J47" s="139">
        <v>7583.33</v>
      </c>
      <c r="K47" s="139">
        <v>7583.33</v>
      </c>
      <c r="L47" s="139">
        <v>7583.33</v>
      </c>
      <c r="M47" s="139">
        <v>7583.33</v>
      </c>
      <c r="N47" s="139">
        <v>7583.33</v>
      </c>
      <c r="O47" s="71"/>
    </row>
    <row r="48" spans="1:15" ht="15.75" thickBot="1">
      <c r="A48" s="36">
        <v>53200</v>
      </c>
      <c r="B48" s="50" t="s">
        <v>137</v>
      </c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O48" s="71"/>
    </row>
    <row r="49" spans="1:15" ht="15.75" thickBot="1">
      <c r="A49" s="90">
        <v>4301</v>
      </c>
      <c r="B49" s="140" t="s">
        <v>138</v>
      </c>
      <c r="C49" s="141">
        <v>475</v>
      </c>
      <c r="D49" s="141">
        <v>475</v>
      </c>
      <c r="E49" s="141">
        <v>475</v>
      </c>
      <c r="F49" s="141">
        <v>475</v>
      </c>
      <c r="G49" s="141">
        <v>475</v>
      </c>
      <c r="H49" s="141">
        <v>475</v>
      </c>
      <c r="I49" s="141">
        <v>475</v>
      </c>
      <c r="J49" s="141">
        <v>475</v>
      </c>
      <c r="K49" s="141">
        <v>475</v>
      </c>
      <c r="L49" s="141">
        <v>475</v>
      </c>
      <c r="M49" s="141">
        <v>475</v>
      </c>
      <c r="N49" s="141">
        <v>475</v>
      </c>
      <c r="O49" s="71"/>
    </row>
    <row r="50" spans="1:15" ht="15.75" thickBot="1">
      <c r="A50" s="36">
        <v>53400</v>
      </c>
      <c r="B50" s="50" t="s">
        <v>139</v>
      </c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O50" s="71"/>
    </row>
    <row r="51" spans="1:15">
      <c r="A51" s="90">
        <v>4303</v>
      </c>
      <c r="B51" s="142" t="s">
        <v>140</v>
      </c>
      <c r="C51" s="95">
        <v>166.67</v>
      </c>
      <c r="D51" s="95">
        <v>166.67</v>
      </c>
      <c r="E51" s="95">
        <v>166.67</v>
      </c>
      <c r="F51" s="95">
        <v>166.67</v>
      </c>
      <c r="G51" s="95">
        <v>166.67</v>
      </c>
      <c r="H51" s="95">
        <v>166.67</v>
      </c>
      <c r="I51" s="95">
        <v>166.67</v>
      </c>
      <c r="J51" s="95">
        <v>166.67</v>
      </c>
      <c r="K51" s="95">
        <v>166.67</v>
      </c>
      <c r="L51" s="95">
        <v>166.67</v>
      </c>
      <c r="M51" s="95">
        <v>166.67</v>
      </c>
      <c r="N51" s="95">
        <v>166.67</v>
      </c>
      <c r="O51" s="71"/>
    </row>
    <row r="52" spans="1:15" ht="15.75" thickBot="1">
      <c r="A52" s="90"/>
      <c r="B52" s="143" t="s">
        <v>141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71"/>
    </row>
    <row r="53" spans="1:15" ht="15.75" thickBot="1">
      <c r="A53" s="36">
        <v>53600</v>
      </c>
      <c r="B53" s="144" t="s">
        <v>142</v>
      </c>
      <c r="C53" s="83"/>
      <c r="D53" s="84"/>
      <c r="E53" s="84"/>
      <c r="F53" s="84"/>
      <c r="G53" s="145"/>
      <c r="H53" s="145"/>
      <c r="I53" s="84"/>
      <c r="J53" s="84"/>
      <c r="K53" s="84"/>
      <c r="L53" s="84"/>
      <c r="M53" s="84"/>
      <c r="N53" s="85"/>
      <c r="O53" s="71"/>
    </row>
    <row r="54" spans="1:15">
      <c r="A54" s="90">
        <v>4308</v>
      </c>
      <c r="B54" s="146" t="s">
        <v>143</v>
      </c>
      <c r="C54" s="147">
        <v>766.67</v>
      </c>
      <c r="D54" s="147">
        <v>766.67</v>
      </c>
      <c r="E54" s="147">
        <v>766.67</v>
      </c>
      <c r="F54" s="148">
        <v>766.67</v>
      </c>
      <c r="G54" s="148">
        <v>766.67</v>
      </c>
      <c r="H54" s="148">
        <v>766.67</v>
      </c>
      <c r="I54" s="148">
        <v>766.67</v>
      </c>
      <c r="J54" s="148">
        <v>766.67</v>
      </c>
      <c r="K54" s="147">
        <v>766.67</v>
      </c>
      <c r="L54" s="147">
        <v>766.67</v>
      </c>
      <c r="M54" s="147">
        <v>766.67</v>
      </c>
      <c r="N54" s="148">
        <v>766.67</v>
      </c>
      <c r="O54" s="71"/>
    </row>
    <row r="55" spans="1:15" ht="15.75" thickBot="1">
      <c r="A55" s="94">
        <v>4315</v>
      </c>
      <c r="B55" s="149" t="s">
        <v>144</v>
      </c>
      <c r="C55" s="99">
        <v>1916.67</v>
      </c>
      <c r="D55" s="99">
        <v>1916.67</v>
      </c>
      <c r="E55" s="99">
        <v>1916.67</v>
      </c>
      <c r="F55" s="150">
        <v>1916.67</v>
      </c>
      <c r="G55" s="63">
        <v>1916.67</v>
      </c>
      <c r="H55" s="63">
        <v>1916.67</v>
      </c>
      <c r="I55" s="63">
        <v>1916.67</v>
      </c>
      <c r="J55" s="63">
        <v>1916.67</v>
      </c>
      <c r="K55" s="99">
        <v>1916.67</v>
      </c>
      <c r="L55" s="99">
        <v>1916.67</v>
      </c>
      <c r="M55" s="99">
        <v>1916.67</v>
      </c>
      <c r="N55" s="151">
        <v>1916.67</v>
      </c>
      <c r="O55" s="71"/>
    </row>
    <row r="56" spans="1:15" ht="15.75" thickBot="1">
      <c r="A56" s="36">
        <v>53800</v>
      </c>
      <c r="B56" s="50" t="s">
        <v>145</v>
      </c>
      <c r="C56" s="83"/>
      <c r="D56" s="84"/>
      <c r="E56" s="84"/>
      <c r="F56" s="84"/>
      <c r="G56" s="145"/>
      <c r="H56" s="145"/>
      <c r="I56" s="84"/>
      <c r="J56" s="84"/>
      <c r="K56" s="84"/>
      <c r="L56" s="84"/>
      <c r="M56" s="84"/>
      <c r="N56" s="85"/>
      <c r="O56" s="71"/>
    </row>
    <row r="57" spans="1:15">
      <c r="A57" s="90">
        <v>4605</v>
      </c>
      <c r="B57" s="120" t="s">
        <v>146</v>
      </c>
      <c r="C57" s="95">
        <v>2800</v>
      </c>
      <c r="D57" s="95">
        <v>2800</v>
      </c>
      <c r="E57" s="95">
        <v>2800</v>
      </c>
      <c r="F57" s="95">
        <v>2800</v>
      </c>
      <c r="G57" s="95">
        <v>2800</v>
      </c>
      <c r="H57" s="95">
        <v>2800</v>
      </c>
      <c r="I57" s="95">
        <v>2800</v>
      </c>
      <c r="J57" s="95">
        <v>2800</v>
      </c>
      <c r="K57" s="95">
        <v>2800</v>
      </c>
      <c r="L57" s="95">
        <v>2800</v>
      </c>
      <c r="M57" s="95">
        <v>2800</v>
      </c>
      <c r="N57" s="95">
        <v>2800</v>
      </c>
      <c r="O57" s="71"/>
    </row>
    <row r="58" spans="1:15">
      <c r="A58">
        <v>4606</v>
      </c>
      <c r="B58" s="121" t="s">
        <v>147</v>
      </c>
      <c r="C58" s="95">
        <v>250</v>
      </c>
      <c r="D58" s="95">
        <v>250</v>
      </c>
      <c r="E58" s="95">
        <v>250</v>
      </c>
      <c r="F58" s="95">
        <v>250</v>
      </c>
      <c r="G58" s="95">
        <v>250</v>
      </c>
      <c r="H58" s="95">
        <v>250</v>
      </c>
      <c r="I58" s="95">
        <v>250</v>
      </c>
      <c r="J58" s="95">
        <v>250</v>
      </c>
      <c r="K58" s="95">
        <v>250</v>
      </c>
      <c r="L58" s="95">
        <v>250</v>
      </c>
      <c r="M58" s="95">
        <v>250</v>
      </c>
      <c r="N58" s="95">
        <v>250</v>
      </c>
      <c r="O58" s="71"/>
    </row>
    <row r="59" spans="1:15">
      <c r="A59" s="90">
        <v>4620</v>
      </c>
      <c r="B59" s="98" t="s">
        <v>148</v>
      </c>
      <c r="C59" s="93">
        <v>45.83</v>
      </c>
      <c r="D59" s="93">
        <v>45.83</v>
      </c>
      <c r="E59" s="93">
        <v>45.83</v>
      </c>
      <c r="F59" s="93">
        <v>45.83</v>
      </c>
      <c r="G59" s="93">
        <v>45.83</v>
      </c>
      <c r="H59" s="93">
        <v>45.83</v>
      </c>
      <c r="I59" s="93">
        <v>45.83</v>
      </c>
      <c r="J59" s="93">
        <v>45.83</v>
      </c>
      <c r="K59" s="93">
        <v>45.83</v>
      </c>
      <c r="L59" s="93">
        <v>45.83</v>
      </c>
      <c r="M59" s="93">
        <v>45.83</v>
      </c>
      <c r="N59" s="92">
        <v>45.83</v>
      </c>
      <c r="O59" s="71"/>
    </row>
    <row r="60" spans="1:15" ht="15.75" thickBot="1">
      <c r="A60" s="90">
        <v>4621</v>
      </c>
      <c r="B60" s="152" t="s">
        <v>149</v>
      </c>
      <c r="C60" s="153">
        <v>325</v>
      </c>
      <c r="D60" s="153">
        <v>325</v>
      </c>
      <c r="E60" s="153">
        <v>325</v>
      </c>
      <c r="F60" s="153">
        <v>325</v>
      </c>
      <c r="G60" s="153">
        <v>325</v>
      </c>
      <c r="H60" s="153">
        <v>325</v>
      </c>
      <c r="I60" s="153">
        <v>325</v>
      </c>
      <c r="J60" s="153">
        <v>325</v>
      </c>
      <c r="K60" s="153">
        <v>325</v>
      </c>
      <c r="L60" s="153">
        <v>325</v>
      </c>
      <c r="M60" s="153">
        <v>325</v>
      </c>
      <c r="N60" s="154">
        <v>325</v>
      </c>
      <c r="O60" s="71"/>
    </row>
    <row r="61" spans="1:15" ht="15.75" thickBot="1">
      <c r="A61" s="36">
        <v>53900</v>
      </c>
      <c r="B61" s="50" t="s">
        <v>150</v>
      </c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5"/>
      <c r="O61" s="71"/>
    </row>
    <row r="62" spans="1:15">
      <c r="A62" s="90">
        <v>4503</v>
      </c>
      <c r="B62" s="98" t="s">
        <v>151</v>
      </c>
      <c r="C62" s="155">
        <v>95306</v>
      </c>
      <c r="D62" s="110"/>
      <c r="E62" s="110"/>
      <c r="F62" s="111"/>
      <c r="G62" s="110"/>
      <c r="H62" s="156"/>
      <c r="I62" s="157"/>
      <c r="J62" s="110"/>
      <c r="K62" s="111"/>
      <c r="L62" s="110"/>
      <c r="M62" s="111"/>
      <c r="N62" s="110"/>
      <c r="O62" s="71"/>
    </row>
    <row r="63" spans="1:15">
      <c r="A63" s="90">
        <v>4504</v>
      </c>
      <c r="B63" s="98" t="s">
        <v>152</v>
      </c>
      <c r="C63" s="155">
        <v>3996</v>
      </c>
      <c r="D63" s="110"/>
      <c r="E63" s="110">
        <v>10917</v>
      </c>
      <c r="F63" s="111"/>
      <c r="G63" s="110"/>
      <c r="H63" s="156"/>
      <c r="I63" s="157"/>
      <c r="J63" s="110"/>
      <c r="K63" s="111"/>
      <c r="L63" s="110"/>
      <c r="M63" s="111"/>
      <c r="N63" s="110"/>
      <c r="O63" s="71"/>
    </row>
    <row r="64" spans="1:15">
      <c r="A64" s="90">
        <v>4603</v>
      </c>
      <c r="B64" s="104" t="s">
        <v>153</v>
      </c>
      <c r="C64" s="110">
        <v>416.67</v>
      </c>
      <c r="D64" s="110">
        <v>416.67</v>
      </c>
      <c r="E64" s="110">
        <v>416.67</v>
      </c>
      <c r="F64" s="110">
        <v>416.67</v>
      </c>
      <c r="G64" s="110">
        <v>416.67</v>
      </c>
      <c r="H64" s="110">
        <v>416.67</v>
      </c>
      <c r="I64" s="110">
        <v>416.67</v>
      </c>
      <c r="J64" s="110">
        <v>416.67</v>
      </c>
      <c r="K64" s="110">
        <v>416.67</v>
      </c>
      <c r="L64" s="110">
        <v>416.67</v>
      </c>
      <c r="M64" s="110">
        <v>416.67</v>
      </c>
      <c r="N64" s="110">
        <v>416.67</v>
      </c>
      <c r="O64" s="71"/>
    </row>
    <row r="65" spans="1:15">
      <c r="A65" s="90">
        <v>4604</v>
      </c>
      <c r="B65" s="98" t="s">
        <v>154</v>
      </c>
      <c r="C65" s="110">
        <v>24500</v>
      </c>
      <c r="D65" s="110">
        <v>24500</v>
      </c>
      <c r="E65" s="110">
        <v>24500</v>
      </c>
      <c r="F65" s="110">
        <v>24500</v>
      </c>
      <c r="G65" s="110">
        <v>24500</v>
      </c>
      <c r="H65" s="110">
        <v>24500</v>
      </c>
      <c r="I65" s="110">
        <v>24500</v>
      </c>
      <c r="J65" s="110">
        <v>24500</v>
      </c>
      <c r="K65" s="110">
        <v>24500</v>
      </c>
      <c r="L65" s="110">
        <v>24500</v>
      </c>
      <c r="M65" s="110">
        <v>24500</v>
      </c>
      <c r="N65" s="110">
        <v>24500</v>
      </c>
      <c r="O65" s="71"/>
    </row>
    <row r="66" spans="1:15">
      <c r="A66" s="90">
        <v>4613</v>
      </c>
      <c r="B66" s="104" t="s">
        <v>155</v>
      </c>
      <c r="C66" s="110">
        <v>2712.5</v>
      </c>
      <c r="D66" s="110">
        <v>2712.5</v>
      </c>
      <c r="E66" s="110">
        <v>2712.5</v>
      </c>
      <c r="F66" s="110">
        <v>2712.5</v>
      </c>
      <c r="G66" s="110">
        <v>2712.5</v>
      </c>
      <c r="H66" s="110">
        <v>2712.5</v>
      </c>
      <c r="I66" s="110">
        <v>2712.5</v>
      </c>
      <c r="J66" s="110">
        <v>2712.5</v>
      </c>
      <c r="K66" s="110">
        <v>2712.5</v>
      </c>
      <c r="L66" s="110">
        <v>2712.5</v>
      </c>
      <c r="M66" s="110">
        <v>2712.5</v>
      </c>
      <c r="N66" s="110">
        <v>2712.5</v>
      </c>
      <c r="O66" s="71"/>
    </row>
    <row r="67" spans="1:15">
      <c r="A67" s="90">
        <v>4618</v>
      </c>
      <c r="B67" s="158" t="s">
        <v>156</v>
      </c>
      <c r="C67" s="110">
        <v>2166.67</v>
      </c>
      <c r="D67" s="110">
        <v>2166.67</v>
      </c>
      <c r="E67" s="110">
        <v>2166.67</v>
      </c>
      <c r="F67" s="110">
        <v>2166.67</v>
      </c>
      <c r="G67" s="110">
        <v>2166.67</v>
      </c>
      <c r="H67" s="110">
        <v>2166.67</v>
      </c>
      <c r="I67" s="110">
        <v>2166.67</v>
      </c>
      <c r="J67" s="110">
        <v>2166.67</v>
      </c>
      <c r="K67" s="110">
        <v>2166.67</v>
      </c>
      <c r="L67" s="110">
        <v>2166.67</v>
      </c>
      <c r="M67" s="110">
        <v>2166.67</v>
      </c>
      <c r="N67" s="110">
        <v>2166.67</v>
      </c>
      <c r="O67" s="71"/>
    </row>
    <row r="68" spans="1:15">
      <c r="A68" s="90">
        <v>4623</v>
      </c>
      <c r="B68" s="98" t="s">
        <v>157</v>
      </c>
      <c r="C68" s="159">
        <v>2390.58</v>
      </c>
      <c r="D68" s="159">
        <v>2390.58</v>
      </c>
      <c r="E68" s="159">
        <v>2390.58</v>
      </c>
      <c r="F68" s="159">
        <v>2390.58</v>
      </c>
      <c r="G68" s="159">
        <v>2390.58</v>
      </c>
      <c r="H68" s="159">
        <v>2390.58</v>
      </c>
      <c r="I68" s="159">
        <v>2390.58</v>
      </c>
      <c r="J68" s="159">
        <v>2390.58</v>
      </c>
      <c r="K68" s="159">
        <v>2390.58</v>
      </c>
      <c r="L68" s="159">
        <v>2390.58</v>
      </c>
      <c r="M68" s="159">
        <v>2390.58</v>
      </c>
      <c r="N68" s="159">
        <v>2390.58</v>
      </c>
      <c r="O68" s="71"/>
    </row>
    <row r="69" spans="1:15">
      <c r="A69" s="90">
        <v>4626</v>
      </c>
      <c r="B69" s="98" t="s">
        <v>158</v>
      </c>
      <c r="C69" s="110">
        <v>1662.5</v>
      </c>
      <c r="D69" s="110">
        <v>1662.5</v>
      </c>
      <c r="E69" s="110">
        <v>1662.5</v>
      </c>
      <c r="F69" s="110">
        <v>1662.5</v>
      </c>
      <c r="G69" s="110">
        <v>1662.5</v>
      </c>
      <c r="H69" s="110">
        <v>1662.5</v>
      </c>
      <c r="I69" s="110">
        <v>1662.5</v>
      </c>
      <c r="J69" s="110">
        <v>1662.5</v>
      </c>
      <c r="K69" s="110">
        <v>1662.5</v>
      </c>
      <c r="L69" s="110">
        <v>1662.5</v>
      </c>
      <c r="M69" s="110">
        <v>1662.5</v>
      </c>
      <c r="N69" s="110">
        <v>1662.5</v>
      </c>
      <c r="O69" s="71"/>
    </row>
    <row r="70" spans="1:15">
      <c r="A70" s="90">
        <v>4630</v>
      </c>
      <c r="B70" s="104" t="s">
        <v>159</v>
      </c>
      <c r="C70" s="110">
        <v>7503.17</v>
      </c>
      <c r="D70" s="110">
        <v>7503.17</v>
      </c>
      <c r="E70" s="110">
        <v>7503.17</v>
      </c>
      <c r="F70" s="110">
        <v>7503.17</v>
      </c>
      <c r="G70" s="110">
        <v>7503.17</v>
      </c>
      <c r="H70" s="110">
        <v>7503.17</v>
      </c>
      <c r="I70" s="110">
        <v>7503.17</v>
      </c>
      <c r="J70" s="110">
        <v>7503.17</v>
      </c>
      <c r="K70" s="110">
        <v>7503.17</v>
      </c>
      <c r="L70" s="110">
        <v>7503.17</v>
      </c>
      <c r="M70" s="110">
        <v>7503.17</v>
      </c>
      <c r="N70" s="110">
        <v>7503.17</v>
      </c>
      <c r="O70" s="71"/>
    </row>
    <row r="71" spans="1:15">
      <c r="A71" s="90">
        <v>4631</v>
      </c>
      <c r="B71" s="104" t="s">
        <v>160</v>
      </c>
      <c r="C71" s="159">
        <v>2406.25</v>
      </c>
      <c r="D71" s="159">
        <v>2406.25</v>
      </c>
      <c r="E71" s="159">
        <v>2406.25</v>
      </c>
      <c r="F71" s="159">
        <v>2406.25</v>
      </c>
      <c r="G71" s="159">
        <v>2406.25</v>
      </c>
      <c r="H71" s="159">
        <v>2406.25</v>
      </c>
      <c r="I71" s="159">
        <v>2406.25</v>
      </c>
      <c r="J71" s="159">
        <v>2406.25</v>
      </c>
      <c r="K71" s="159">
        <v>2406.25</v>
      </c>
      <c r="L71" s="159">
        <v>2406.25</v>
      </c>
      <c r="M71" s="159">
        <v>2406.25</v>
      </c>
      <c r="N71" s="159">
        <v>2406.25</v>
      </c>
      <c r="O71" s="71"/>
    </row>
    <row r="72" spans="1:15">
      <c r="A72" s="90">
        <v>4632</v>
      </c>
      <c r="B72" s="104" t="s">
        <v>161</v>
      </c>
      <c r="C72" s="110">
        <v>3724.5</v>
      </c>
      <c r="D72" s="110">
        <v>3724.5</v>
      </c>
      <c r="E72" s="110">
        <v>3724.5</v>
      </c>
      <c r="F72" s="110">
        <v>3724.5</v>
      </c>
      <c r="G72" s="110">
        <v>3724.5</v>
      </c>
      <c r="H72" s="110">
        <v>3724.5</v>
      </c>
      <c r="I72" s="110">
        <v>3724.5</v>
      </c>
      <c r="J72" s="110">
        <v>3724.5</v>
      </c>
      <c r="K72" s="110">
        <v>3724.5</v>
      </c>
      <c r="L72" s="110">
        <v>3724.5</v>
      </c>
      <c r="M72" s="110">
        <v>3724.5</v>
      </c>
      <c r="N72" s="110">
        <v>3724.5</v>
      </c>
      <c r="O72" s="71"/>
    </row>
    <row r="73" spans="1:15">
      <c r="A73" s="90">
        <v>4633</v>
      </c>
      <c r="B73" s="104" t="s">
        <v>162</v>
      </c>
      <c r="C73" s="110">
        <v>1176</v>
      </c>
      <c r="D73" s="110">
        <v>1176</v>
      </c>
      <c r="E73" s="110">
        <v>1176</v>
      </c>
      <c r="F73" s="110">
        <v>1176</v>
      </c>
      <c r="G73" s="110">
        <v>1176</v>
      </c>
      <c r="H73" s="110">
        <v>1176</v>
      </c>
      <c r="I73" s="110">
        <v>1176</v>
      </c>
      <c r="J73" s="110">
        <v>1176</v>
      </c>
      <c r="K73" s="110">
        <v>1176</v>
      </c>
      <c r="L73" s="110">
        <v>1176</v>
      </c>
      <c r="M73" s="110">
        <v>1176</v>
      </c>
      <c r="N73" s="110">
        <v>1176</v>
      </c>
      <c r="O73" s="71"/>
    </row>
    <row r="74" spans="1:15">
      <c r="A74" s="90">
        <v>4650</v>
      </c>
      <c r="B74" s="160" t="s">
        <v>163</v>
      </c>
      <c r="C74" s="110">
        <v>2083.33</v>
      </c>
      <c r="D74" s="110">
        <v>2083.33</v>
      </c>
      <c r="E74" s="110">
        <v>2083.33</v>
      </c>
      <c r="F74" s="110">
        <v>2083.33</v>
      </c>
      <c r="G74" s="110">
        <v>2083.33</v>
      </c>
      <c r="H74" s="110">
        <v>2083.33</v>
      </c>
      <c r="I74" s="110">
        <v>2083.33</v>
      </c>
      <c r="J74" s="110">
        <v>2083.33</v>
      </c>
      <c r="K74" s="110">
        <v>2083.33</v>
      </c>
      <c r="L74" s="110">
        <v>2083.33</v>
      </c>
      <c r="M74" s="110">
        <v>2083.33</v>
      </c>
      <c r="N74" s="110">
        <v>2083.33</v>
      </c>
      <c r="O74" s="71"/>
    </row>
    <row r="75" spans="1:15">
      <c r="A75" s="90">
        <v>4653</v>
      </c>
      <c r="B75" s="98" t="s">
        <v>164</v>
      </c>
      <c r="C75" s="110">
        <v>175</v>
      </c>
      <c r="D75" s="110">
        <v>175</v>
      </c>
      <c r="E75" s="110">
        <v>175</v>
      </c>
      <c r="F75" s="110">
        <v>175</v>
      </c>
      <c r="G75" s="110">
        <v>175</v>
      </c>
      <c r="H75" s="110">
        <v>175</v>
      </c>
      <c r="I75" s="110">
        <v>175</v>
      </c>
      <c r="J75" s="110">
        <v>175</v>
      </c>
      <c r="K75" s="110">
        <v>175</v>
      </c>
      <c r="L75" s="110">
        <v>175</v>
      </c>
      <c r="M75" s="110">
        <v>175</v>
      </c>
      <c r="N75" s="110">
        <v>175</v>
      </c>
      <c r="O75" s="161"/>
    </row>
    <row r="76" spans="1:15">
      <c r="A76" s="90">
        <v>4655</v>
      </c>
      <c r="B76" s="162" t="s">
        <v>165</v>
      </c>
      <c r="C76" s="163">
        <v>2083.33</v>
      </c>
      <c r="D76" s="163">
        <v>2083.33</v>
      </c>
      <c r="E76" s="163">
        <v>2083.33</v>
      </c>
      <c r="F76" s="163">
        <v>2083.33</v>
      </c>
      <c r="G76" s="163">
        <v>2083.33</v>
      </c>
      <c r="H76" s="163">
        <v>2083.33</v>
      </c>
      <c r="I76" s="163">
        <v>2083.33</v>
      </c>
      <c r="J76" s="163">
        <v>2083.33</v>
      </c>
      <c r="K76" s="163">
        <v>2083.33</v>
      </c>
      <c r="L76" s="163">
        <v>2083.33</v>
      </c>
      <c r="M76" s="163">
        <v>2083.33</v>
      </c>
      <c r="N76" s="164">
        <v>2083.33</v>
      </c>
      <c r="O76" s="71"/>
    </row>
    <row r="77" spans="1:15">
      <c r="A77" s="90">
        <v>4656</v>
      </c>
      <c r="B77" s="98" t="s">
        <v>166</v>
      </c>
      <c r="C77" s="110">
        <v>525</v>
      </c>
      <c r="D77" s="110">
        <v>525</v>
      </c>
      <c r="E77" s="110">
        <v>525</v>
      </c>
      <c r="F77" s="110">
        <v>525</v>
      </c>
      <c r="G77" s="110">
        <v>525</v>
      </c>
      <c r="H77" s="110">
        <v>525</v>
      </c>
      <c r="I77" s="110">
        <v>525</v>
      </c>
      <c r="J77" s="110">
        <v>525</v>
      </c>
      <c r="K77" s="110">
        <v>525</v>
      </c>
      <c r="L77" s="110">
        <v>525</v>
      </c>
      <c r="M77" s="110">
        <v>525</v>
      </c>
      <c r="N77" s="110">
        <v>525</v>
      </c>
      <c r="O77" s="71"/>
    </row>
    <row r="78" spans="1:15" ht="15.75" thickBot="1">
      <c r="A78" s="165">
        <v>4657</v>
      </c>
      <c r="B78" s="86" t="s">
        <v>167</v>
      </c>
      <c r="C78" s="164"/>
      <c r="D78" s="164"/>
      <c r="E78" s="166"/>
      <c r="F78" s="163"/>
      <c r="G78" s="163"/>
      <c r="H78" s="163"/>
      <c r="I78" s="163"/>
      <c r="J78" s="164"/>
      <c r="K78" s="166"/>
      <c r="L78" s="164"/>
      <c r="M78" s="166"/>
      <c r="N78" s="164"/>
      <c r="O78" s="71"/>
    </row>
    <row r="79" spans="1:15" ht="15.75" thickBot="1">
      <c r="A79" s="36">
        <v>54100</v>
      </c>
      <c r="B79" s="50" t="s">
        <v>168</v>
      </c>
      <c r="C79" s="8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5"/>
      <c r="O79" s="71"/>
    </row>
    <row r="80" spans="1:15">
      <c r="A80" s="90">
        <v>4609</v>
      </c>
      <c r="B80" s="91" t="s">
        <v>169</v>
      </c>
      <c r="C80" s="93">
        <v>395.83</v>
      </c>
      <c r="D80" s="93">
        <v>395.83</v>
      </c>
      <c r="E80" s="93">
        <v>395.83</v>
      </c>
      <c r="F80" s="93">
        <v>395.83</v>
      </c>
      <c r="G80" s="93">
        <v>395.83</v>
      </c>
      <c r="H80" s="93">
        <v>395.83</v>
      </c>
      <c r="I80" s="93">
        <v>395.83</v>
      </c>
      <c r="J80" s="93">
        <v>395.83</v>
      </c>
      <c r="K80" s="93">
        <v>395.83</v>
      </c>
      <c r="L80" s="93">
        <v>395.83</v>
      </c>
      <c r="M80" s="93">
        <v>395.83</v>
      </c>
      <c r="N80" s="92">
        <v>395.83</v>
      </c>
      <c r="O80" s="71"/>
    </row>
    <row r="81" spans="1:15">
      <c r="A81" s="90">
        <v>4627</v>
      </c>
      <c r="B81" s="104" t="s">
        <v>170</v>
      </c>
      <c r="C81" s="167">
        <v>83.33</v>
      </c>
      <c r="D81" s="167">
        <v>83.33</v>
      </c>
      <c r="E81" s="167">
        <v>83.33</v>
      </c>
      <c r="F81" s="167">
        <v>83.33</v>
      </c>
      <c r="G81" s="167">
        <v>83.33</v>
      </c>
      <c r="H81" s="167">
        <v>83.33</v>
      </c>
      <c r="I81" s="167">
        <v>83.33</v>
      </c>
      <c r="J81" s="167">
        <v>83.33</v>
      </c>
      <c r="K81" s="167">
        <v>83.33</v>
      </c>
      <c r="L81" s="167">
        <v>83.33</v>
      </c>
      <c r="M81" s="167">
        <v>83.33</v>
      </c>
      <c r="N81" s="147">
        <v>83.33</v>
      </c>
      <c r="O81" s="71"/>
    </row>
    <row r="82" spans="1:15">
      <c r="A82" s="90">
        <v>4628</v>
      </c>
      <c r="B82" s="98" t="s">
        <v>171</v>
      </c>
      <c r="C82" s="153">
        <v>1666.67</v>
      </c>
      <c r="D82" s="153">
        <v>1666.67</v>
      </c>
      <c r="E82" s="153">
        <v>1666.67</v>
      </c>
      <c r="F82" s="153">
        <v>1666.67</v>
      </c>
      <c r="G82" s="153">
        <v>1666.67</v>
      </c>
      <c r="H82" s="153">
        <v>1666.67</v>
      </c>
      <c r="I82" s="153">
        <v>1666.67</v>
      </c>
      <c r="J82" s="153">
        <v>1666.67</v>
      </c>
      <c r="K82" s="153">
        <v>1666.67</v>
      </c>
      <c r="L82" s="153">
        <v>1666.67</v>
      </c>
      <c r="M82" s="153">
        <v>1666.67</v>
      </c>
      <c r="N82" s="154">
        <v>1666.67</v>
      </c>
      <c r="O82" s="71"/>
    </row>
    <row r="83" spans="1:15" ht="15.75" thickBot="1">
      <c r="A83" s="90">
        <v>5408</v>
      </c>
      <c r="B83" s="98" t="s">
        <v>172</v>
      </c>
      <c r="C83" s="106">
        <v>1250</v>
      </c>
      <c r="D83" s="106">
        <v>1250</v>
      </c>
      <c r="E83" s="106">
        <v>1250</v>
      </c>
      <c r="F83" s="106">
        <v>1250</v>
      </c>
      <c r="G83" s="106">
        <v>1250</v>
      </c>
      <c r="H83" s="106">
        <v>1250</v>
      </c>
      <c r="I83" s="106">
        <v>1250</v>
      </c>
      <c r="J83" s="106">
        <v>1250</v>
      </c>
      <c r="K83" s="106">
        <v>1250</v>
      </c>
      <c r="L83" s="106">
        <v>1250</v>
      </c>
      <c r="M83" s="106">
        <v>1250</v>
      </c>
      <c r="N83" s="95">
        <v>1250</v>
      </c>
      <c r="O83" s="71"/>
    </row>
    <row r="84" spans="1:15" ht="15.75" thickBot="1">
      <c r="A84" s="36">
        <v>57200</v>
      </c>
      <c r="B84" s="50" t="s">
        <v>173</v>
      </c>
      <c r="C84" s="83"/>
      <c r="D84" s="84"/>
      <c r="E84" s="84"/>
      <c r="F84" s="84"/>
      <c r="G84" s="145"/>
      <c r="H84" s="84"/>
      <c r="I84" s="84"/>
      <c r="J84" s="84"/>
      <c r="K84" s="84"/>
      <c r="L84" s="84"/>
      <c r="M84" s="84"/>
      <c r="N84" s="85"/>
      <c r="O84" s="71"/>
    </row>
    <row r="85" spans="1:15">
      <c r="A85" s="90">
        <v>4580</v>
      </c>
      <c r="B85" s="168" t="s">
        <v>174</v>
      </c>
      <c r="C85" s="169">
        <v>19632.919999999998</v>
      </c>
      <c r="D85" s="169">
        <v>19632.919999999998</v>
      </c>
      <c r="E85" s="169">
        <v>19632.919999999998</v>
      </c>
      <c r="F85" s="169">
        <v>19632.919999999998</v>
      </c>
      <c r="G85" s="169">
        <v>19632.919999999998</v>
      </c>
      <c r="H85" s="169">
        <v>19632.919999999998</v>
      </c>
      <c r="I85" s="169">
        <v>19632.919999999998</v>
      </c>
      <c r="J85" s="169">
        <v>19632.919999999998</v>
      </c>
      <c r="K85" s="169">
        <v>19632.919999999998</v>
      </c>
      <c r="L85" s="169">
        <v>19632.919999999998</v>
      </c>
      <c r="M85" s="169">
        <v>19632.919999999998</v>
      </c>
      <c r="N85" s="137">
        <v>19632.919999999998</v>
      </c>
      <c r="O85" s="71"/>
    </row>
    <row r="86" spans="1:15">
      <c r="A86" s="90">
        <v>4582</v>
      </c>
      <c r="B86" s="104" t="s">
        <v>175</v>
      </c>
      <c r="C86" s="110">
        <v>3000</v>
      </c>
      <c r="D86" s="110">
        <v>3000</v>
      </c>
      <c r="E86" s="110">
        <v>3000</v>
      </c>
      <c r="F86" s="110">
        <v>3000</v>
      </c>
      <c r="G86" s="110">
        <v>3000</v>
      </c>
      <c r="H86" s="110">
        <v>3000</v>
      </c>
      <c r="I86" s="110">
        <v>3000</v>
      </c>
      <c r="J86" s="110">
        <v>3000</v>
      </c>
      <c r="K86" s="110">
        <v>3000</v>
      </c>
      <c r="L86" s="110">
        <v>3000</v>
      </c>
      <c r="M86" s="110">
        <v>3000</v>
      </c>
      <c r="N86" s="110">
        <v>3000</v>
      </c>
      <c r="O86" s="71"/>
    </row>
    <row r="87" spans="1:15">
      <c r="A87" s="90">
        <v>4617</v>
      </c>
      <c r="B87" s="98" t="s">
        <v>176</v>
      </c>
      <c r="C87" s="170">
        <v>50637.33</v>
      </c>
      <c r="D87" s="170">
        <v>50637.33</v>
      </c>
      <c r="E87" s="170">
        <v>50637.33</v>
      </c>
      <c r="F87" s="170">
        <v>50637.33</v>
      </c>
      <c r="G87" s="170">
        <v>50637.33</v>
      </c>
      <c r="H87" s="170">
        <v>50637.33</v>
      </c>
      <c r="I87" s="170">
        <v>50637.33</v>
      </c>
      <c r="J87" s="170">
        <v>50637.33</v>
      </c>
      <c r="K87" s="170">
        <v>50637.33</v>
      </c>
      <c r="L87" s="170">
        <v>50637.33</v>
      </c>
      <c r="M87" s="170">
        <v>50637.33</v>
      </c>
      <c r="N87" s="57">
        <v>50637.33</v>
      </c>
      <c r="O87" s="71"/>
    </row>
    <row r="88" spans="1:15">
      <c r="A88" s="90">
        <v>4909</v>
      </c>
      <c r="B88" s="104" t="s">
        <v>177</v>
      </c>
      <c r="C88" s="92">
        <v>1500</v>
      </c>
      <c r="D88" s="92">
        <v>1500</v>
      </c>
      <c r="E88" s="92">
        <v>1500</v>
      </c>
      <c r="F88" s="92">
        <v>1500</v>
      </c>
      <c r="G88" s="92">
        <v>1500</v>
      </c>
      <c r="H88" s="92">
        <v>1500</v>
      </c>
      <c r="I88" s="92">
        <v>1500</v>
      </c>
      <c r="J88" s="92">
        <v>1500</v>
      </c>
      <c r="K88" s="92">
        <v>1500</v>
      </c>
      <c r="L88" s="92">
        <v>1500</v>
      </c>
      <c r="M88" s="92">
        <v>1500</v>
      </c>
      <c r="N88" s="92">
        <v>1500</v>
      </c>
      <c r="O88" s="71"/>
    </row>
    <row r="89" spans="1:15">
      <c r="A89" s="90">
        <v>5300</v>
      </c>
      <c r="B89" s="104" t="s">
        <v>178</v>
      </c>
      <c r="C89" s="95">
        <v>208.33</v>
      </c>
      <c r="D89" s="95">
        <v>208.33</v>
      </c>
      <c r="E89" s="95">
        <v>208.33</v>
      </c>
      <c r="F89" s="95">
        <v>208.33</v>
      </c>
      <c r="G89" s="95">
        <v>208.33</v>
      </c>
      <c r="H89" s="95">
        <v>208.33</v>
      </c>
      <c r="I89" s="95">
        <v>208.33</v>
      </c>
      <c r="J89" s="95">
        <v>208.33</v>
      </c>
      <c r="K89" s="95">
        <v>208.33</v>
      </c>
      <c r="L89" s="95">
        <v>208.33</v>
      </c>
      <c r="M89" s="95">
        <v>208.33</v>
      </c>
      <c r="N89" s="95">
        <v>208.33</v>
      </c>
      <c r="O89" s="71"/>
    </row>
    <row r="90" spans="1:15">
      <c r="A90" s="94">
        <v>5304</v>
      </c>
      <c r="B90" s="104" t="s">
        <v>179</v>
      </c>
      <c r="C90" s="95">
        <v>41.67</v>
      </c>
      <c r="D90" s="95">
        <v>41.67</v>
      </c>
      <c r="E90" s="95">
        <v>41.67</v>
      </c>
      <c r="F90" s="95">
        <v>41.67</v>
      </c>
      <c r="G90" s="95">
        <v>41.67</v>
      </c>
      <c r="H90" s="95">
        <v>41.67</v>
      </c>
      <c r="I90" s="95">
        <v>41.67</v>
      </c>
      <c r="J90" s="95">
        <v>41.67</v>
      </c>
      <c r="K90" s="95">
        <v>41.67</v>
      </c>
      <c r="L90" s="95">
        <v>41.67</v>
      </c>
      <c r="M90" s="95">
        <v>41.67</v>
      </c>
      <c r="N90" s="95">
        <v>41.67</v>
      </c>
      <c r="O90" s="71"/>
    </row>
    <row r="91" spans="1:15">
      <c r="A91" s="90">
        <v>5324</v>
      </c>
      <c r="B91" s="98" t="s">
        <v>180</v>
      </c>
      <c r="C91" s="95">
        <v>41.67</v>
      </c>
      <c r="D91" s="95">
        <v>41.67</v>
      </c>
      <c r="E91" s="95">
        <v>41.67</v>
      </c>
      <c r="F91" s="95">
        <v>41.67</v>
      </c>
      <c r="G91" s="95">
        <v>41.67</v>
      </c>
      <c r="H91" s="95">
        <v>41.67</v>
      </c>
      <c r="I91" s="95">
        <v>41.67</v>
      </c>
      <c r="J91" s="95">
        <v>41.67</v>
      </c>
      <c r="K91" s="95">
        <v>41.67</v>
      </c>
      <c r="L91" s="95">
        <v>41.67</v>
      </c>
      <c r="M91" s="95">
        <v>41.67</v>
      </c>
      <c r="N91" s="95">
        <v>41.67</v>
      </c>
      <c r="O91" s="71"/>
    </row>
    <row r="92" spans="1:15">
      <c r="A92" s="90">
        <v>5339</v>
      </c>
      <c r="B92" s="171" t="s">
        <v>181</v>
      </c>
      <c r="C92" s="113">
        <v>416.67</v>
      </c>
      <c r="D92" s="113">
        <v>416.67</v>
      </c>
      <c r="E92" s="113">
        <v>416.67</v>
      </c>
      <c r="F92" s="113">
        <v>416.67</v>
      </c>
      <c r="G92" s="113">
        <v>416.67</v>
      </c>
      <c r="H92" s="113">
        <v>416.67</v>
      </c>
      <c r="I92" s="113">
        <v>416.67</v>
      </c>
      <c r="J92" s="113">
        <v>416.67</v>
      </c>
      <c r="K92" s="113">
        <v>416.67</v>
      </c>
      <c r="L92" s="113">
        <v>416.67</v>
      </c>
      <c r="M92" s="113">
        <v>416.67</v>
      </c>
      <c r="N92" s="113">
        <v>416.67</v>
      </c>
      <c r="O92" s="71"/>
    </row>
    <row r="93" spans="1:15">
      <c r="A93" s="90">
        <v>5400</v>
      </c>
      <c r="B93" s="171" t="s">
        <v>182</v>
      </c>
      <c r="C93" s="113">
        <v>3650</v>
      </c>
      <c r="D93" s="113">
        <v>3650</v>
      </c>
      <c r="E93" s="113">
        <v>3650</v>
      </c>
      <c r="F93" s="113">
        <v>3650</v>
      </c>
      <c r="G93" s="113">
        <v>3650</v>
      </c>
      <c r="H93" s="113">
        <v>3650</v>
      </c>
      <c r="I93" s="113">
        <v>3650</v>
      </c>
      <c r="J93" s="113">
        <v>3650</v>
      </c>
      <c r="K93" s="113">
        <v>3650</v>
      </c>
      <c r="L93" s="113">
        <v>3650</v>
      </c>
      <c r="M93" s="113">
        <v>3650</v>
      </c>
      <c r="N93" s="113">
        <v>3650</v>
      </c>
      <c r="O93" s="71"/>
    </row>
    <row r="94" spans="1:15">
      <c r="A94" s="90">
        <v>5404</v>
      </c>
      <c r="B94" s="98" t="s">
        <v>183</v>
      </c>
      <c r="C94" s="172">
        <v>266.67</v>
      </c>
      <c r="D94" s="172">
        <v>266.67</v>
      </c>
      <c r="E94" s="172">
        <v>266.67</v>
      </c>
      <c r="F94" s="172">
        <v>266.67</v>
      </c>
      <c r="G94" s="172">
        <v>266.67</v>
      </c>
      <c r="H94" s="172">
        <v>266.67</v>
      </c>
      <c r="I94" s="172">
        <v>266.67</v>
      </c>
      <c r="J94" s="172">
        <v>266.67</v>
      </c>
      <c r="K94" s="172">
        <v>266.67</v>
      </c>
      <c r="L94" s="172">
        <v>266.67</v>
      </c>
      <c r="M94" s="172">
        <v>266.67</v>
      </c>
      <c r="N94" s="95">
        <v>266.67</v>
      </c>
      <c r="O94" s="71"/>
    </row>
    <row r="95" spans="1:15">
      <c r="A95" s="90">
        <v>5414</v>
      </c>
      <c r="B95" s="98" t="s">
        <v>184</v>
      </c>
      <c r="C95" s="99">
        <v>2916.67</v>
      </c>
      <c r="D95" s="99">
        <v>2916.67</v>
      </c>
      <c r="E95" s="99">
        <v>2916.67</v>
      </c>
      <c r="F95" s="99">
        <v>2916.67</v>
      </c>
      <c r="G95" s="99">
        <v>2916.67</v>
      </c>
      <c r="H95" s="99">
        <v>2916.67</v>
      </c>
      <c r="I95" s="99">
        <v>2916.67</v>
      </c>
      <c r="J95" s="99">
        <v>2916.67</v>
      </c>
      <c r="K95" s="99">
        <v>2916.67</v>
      </c>
      <c r="L95" s="99">
        <v>2916.67</v>
      </c>
      <c r="M95" s="99">
        <v>2916.67</v>
      </c>
      <c r="N95" s="99">
        <v>2916.67</v>
      </c>
      <c r="O95" s="71"/>
    </row>
    <row r="96" spans="1:15">
      <c r="A96" s="90">
        <v>5416</v>
      </c>
      <c r="B96" s="98" t="s">
        <v>185</v>
      </c>
      <c r="C96" s="95">
        <v>1250</v>
      </c>
      <c r="D96" s="95">
        <v>1250</v>
      </c>
      <c r="E96" s="95">
        <v>1250</v>
      </c>
      <c r="F96" s="95">
        <v>1250</v>
      </c>
      <c r="G96" s="95">
        <v>1250</v>
      </c>
      <c r="H96" s="95">
        <v>1250</v>
      </c>
      <c r="I96" s="95">
        <v>1250</v>
      </c>
      <c r="J96" s="95">
        <v>1250</v>
      </c>
      <c r="K96" s="95">
        <v>1250</v>
      </c>
      <c r="L96" s="95">
        <v>1250</v>
      </c>
      <c r="M96" s="95">
        <v>1250</v>
      </c>
      <c r="N96" s="95">
        <v>1250</v>
      </c>
      <c r="O96" s="71"/>
    </row>
    <row r="97" spans="1:15">
      <c r="A97" s="173">
        <v>5417</v>
      </c>
      <c r="B97" s="104" t="s">
        <v>186</v>
      </c>
      <c r="C97" s="95">
        <v>625</v>
      </c>
      <c r="D97" s="95">
        <v>625</v>
      </c>
      <c r="E97" s="95">
        <v>625</v>
      </c>
      <c r="F97" s="95">
        <v>625</v>
      </c>
      <c r="G97" s="95">
        <v>625</v>
      </c>
      <c r="H97" s="95">
        <v>625</v>
      </c>
      <c r="I97" s="95">
        <v>625</v>
      </c>
      <c r="J97" s="95">
        <v>625</v>
      </c>
      <c r="K97" s="95">
        <v>625</v>
      </c>
      <c r="L97" s="95">
        <v>625</v>
      </c>
      <c r="M97" s="95">
        <v>625</v>
      </c>
      <c r="N97" s="95">
        <v>625</v>
      </c>
      <c r="O97" s="71"/>
    </row>
    <row r="98" spans="1:15">
      <c r="A98" s="90">
        <v>5419</v>
      </c>
      <c r="B98" s="98" t="s">
        <v>187</v>
      </c>
      <c r="C98" s="95">
        <v>125</v>
      </c>
      <c r="D98" s="95">
        <v>125</v>
      </c>
      <c r="E98" s="95">
        <v>125</v>
      </c>
      <c r="F98" s="95">
        <v>125</v>
      </c>
      <c r="G98" s="95">
        <v>125</v>
      </c>
      <c r="H98" s="95">
        <v>125</v>
      </c>
      <c r="I98" s="95">
        <v>125</v>
      </c>
      <c r="J98" s="95">
        <v>125</v>
      </c>
      <c r="K98" s="95">
        <v>125</v>
      </c>
      <c r="L98" s="95">
        <v>125</v>
      </c>
      <c r="M98" s="95">
        <v>125</v>
      </c>
      <c r="N98" s="95">
        <v>125</v>
      </c>
      <c r="O98" s="71"/>
    </row>
    <row r="99" spans="1:15">
      <c r="A99" s="90">
        <v>5420</v>
      </c>
      <c r="B99" s="98" t="s">
        <v>188</v>
      </c>
      <c r="C99" s="99">
        <v>333.33</v>
      </c>
      <c r="D99" s="99">
        <v>333.33</v>
      </c>
      <c r="E99" s="99">
        <v>333.33</v>
      </c>
      <c r="F99" s="99">
        <v>333.33</v>
      </c>
      <c r="G99" s="99">
        <v>333.33</v>
      </c>
      <c r="H99" s="99">
        <v>333.33</v>
      </c>
      <c r="I99" s="99">
        <v>333.33</v>
      </c>
      <c r="J99" s="99">
        <v>333.33</v>
      </c>
      <c r="K99" s="99">
        <v>333.33</v>
      </c>
      <c r="L99" s="99">
        <v>333.33</v>
      </c>
      <c r="M99" s="99">
        <v>333.33</v>
      </c>
      <c r="N99" s="99">
        <v>333.33</v>
      </c>
      <c r="O99" s="71"/>
    </row>
    <row r="100" spans="1:15">
      <c r="A100" s="90">
        <v>5421</v>
      </c>
      <c r="B100" s="98" t="s">
        <v>189</v>
      </c>
      <c r="C100" s="95">
        <v>208.33</v>
      </c>
      <c r="D100" s="95">
        <v>208.33</v>
      </c>
      <c r="E100" s="95">
        <v>208.33</v>
      </c>
      <c r="F100" s="95">
        <v>208.33</v>
      </c>
      <c r="G100" s="95">
        <v>208.33</v>
      </c>
      <c r="H100" s="95">
        <v>208.33</v>
      </c>
      <c r="I100" s="95">
        <v>208.33</v>
      </c>
      <c r="J100" s="95">
        <v>208.33</v>
      </c>
      <c r="K100" s="95">
        <v>208.33</v>
      </c>
      <c r="L100" s="95">
        <v>208.33</v>
      </c>
      <c r="M100" s="95">
        <v>208.33</v>
      </c>
      <c r="N100" s="95">
        <v>208.33</v>
      </c>
      <c r="O100" s="71"/>
    </row>
    <row r="101" spans="1:15">
      <c r="A101" s="90">
        <v>5422</v>
      </c>
      <c r="B101" s="98" t="s">
        <v>190</v>
      </c>
      <c r="C101" s="95">
        <v>916.67</v>
      </c>
      <c r="D101" s="95">
        <v>916.67</v>
      </c>
      <c r="E101" s="95">
        <v>916.67</v>
      </c>
      <c r="F101" s="95">
        <v>916.67</v>
      </c>
      <c r="G101" s="95">
        <v>916.67</v>
      </c>
      <c r="H101" s="95">
        <v>916.67</v>
      </c>
      <c r="I101" s="95">
        <v>916.67</v>
      </c>
      <c r="J101" s="95">
        <v>916.67</v>
      </c>
      <c r="K101" s="95">
        <v>916.67</v>
      </c>
      <c r="L101" s="95">
        <v>916.67</v>
      </c>
      <c r="M101" s="95">
        <v>916.67</v>
      </c>
      <c r="N101" s="95">
        <v>916.67</v>
      </c>
      <c r="O101" s="71"/>
    </row>
    <row r="102" spans="1:15">
      <c r="A102" s="173">
        <v>5423</v>
      </c>
      <c r="B102" s="158" t="s">
        <v>191</v>
      </c>
      <c r="C102" s="95">
        <v>416.67</v>
      </c>
      <c r="D102" s="95">
        <v>416.67</v>
      </c>
      <c r="E102" s="95">
        <v>416.67</v>
      </c>
      <c r="F102" s="95">
        <v>416.67</v>
      </c>
      <c r="G102" s="95">
        <v>416.67</v>
      </c>
      <c r="H102" s="95">
        <v>416.67</v>
      </c>
      <c r="I102" s="95">
        <v>416.67</v>
      </c>
      <c r="J102" s="95">
        <v>416.67</v>
      </c>
      <c r="K102" s="95">
        <v>416.67</v>
      </c>
      <c r="L102" s="95">
        <v>416.67</v>
      </c>
      <c r="M102" s="95">
        <v>416.67</v>
      </c>
      <c r="N102" s="95">
        <v>416.67</v>
      </c>
      <c r="O102" s="71"/>
    </row>
    <row r="103" spans="1:15">
      <c r="A103" s="90">
        <v>5434</v>
      </c>
      <c r="B103" s="104" t="s">
        <v>192</v>
      </c>
      <c r="C103" s="95">
        <v>64.58</v>
      </c>
      <c r="D103" s="95">
        <v>64.58</v>
      </c>
      <c r="E103" s="95">
        <v>64.58</v>
      </c>
      <c r="F103" s="95">
        <v>64.58</v>
      </c>
      <c r="G103" s="95">
        <v>64.58</v>
      </c>
      <c r="H103" s="95">
        <v>64.58</v>
      </c>
      <c r="I103" s="95">
        <v>64.58</v>
      </c>
      <c r="J103" s="95">
        <v>64.58</v>
      </c>
      <c r="K103" s="95">
        <v>64.58</v>
      </c>
      <c r="L103" s="95">
        <v>64.58</v>
      </c>
      <c r="M103" s="95">
        <v>64.58</v>
      </c>
      <c r="N103" s="95">
        <v>64.58</v>
      </c>
      <c r="O103" s="71"/>
    </row>
    <row r="104" spans="1:15">
      <c r="A104" s="90">
        <v>5445</v>
      </c>
      <c r="B104" s="96" t="s">
        <v>193</v>
      </c>
      <c r="C104" s="118">
        <v>2083.33</v>
      </c>
      <c r="D104" s="118">
        <v>2083.33</v>
      </c>
      <c r="E104" s="118">
        <v>2083.33</v>
      </c>
      <c r="F104" s="118">
        <v>2083.33</v>
      </c>
      <c r="G104" s="118">
        <v>2083.33</v>
      </c>
      <c r="H104" s="118">
        <v>2083.33</v>
      </c>
      <c r="I104" s="118">
        <v>2083.33</v>
      </c>
      <c r="J104" s="118">
        <v>2083.33</v>
      </c>
      <c r="K104" s="118">
        <v>2083.33</v>
      </c>
      <c r="L104" s="118">
        <v>2083.33</v>
      </c>
      <c r="M104" s="118">
        <v>2083.33</v>
      </c>
      <c r="N104" s="118">
        <v>2083.33</v>
      </c>
      <c r="O104" s="71"/>
    </row>
    <row r="105" spans="1:15">
      <c r="A105" s="90">
        <v>5415</v>
      </c>
      <c r="B105" s="104" t="s">
        <v>194</v>
      </c>
      <c r="C105" s="99">
        <v>416.67</v>
      </c>
      <c r="D105" s="99">
        <v>416.67</v>
      </c>
      <c r="E105" s="99">
        <v>416.67</v>
      </c>
      <c r="F105" s="99">
        <v>416.67</v>
      </c>
      <c r="G105" s="99">
        <v>416.67</v>
      </c>
      <c r="H105" s="99">
        <v>416.67</v>
      </c>
      <c r="I105" s="99">
        <v>416.67</v>
      </c>
      <c r="J105" s="99">
        <v>416.67</v>
      </c>
      <c r="K105" s="99">
        <v>416.67</v>
      </c>
      <c r="L105" s="99">
        <v>416.67</v>
      </c>
      <c r="M105" s="99">
        <v>416.67</v>
      </c>
      <c r="N105" s="99">
        <v>416.67</v>
      </c>
      <c r="O105" s="71"/>
    </row>
    <row r="106" spans="1:15">
      <c r="A106" s="173">
        <v>5425</v>
      </c>
      <c r="B106" s="158" t="s">
        <v>195</v>
      </c>
      <c r="C106" s="95">
        <v>416.67</v>
      </c>
      <c r="D106" s="95">
        <v>416.67</v>
      </c>
      <c r="E106" s="95">
        <v>416.67</v>
      </c>
      <c r="F106" s="95">
        <v>416.67</v>
      </c>
      <c r="G106" s="95">
        <v>416.67</v>
      </c>
      <c r="H106" s="95">
        <v>416.67</v>
      </c>
      <c r="I106" s="95">
        <v>416.67</v>
      </c>
      <c r="J106" s="95">
        <v>416.67</v>
      </c>
      <c r="K106" s="95">
        <v>416.67</v>
      </c>
      <c r="L106" s="95">
        <v>416.67</v>
      </c>
      <c r="M106" s="95">
        <v>416.67</v>
      </c>
      <c r="N106" s="95">
        <v>416.67</v>
      </c>
      <c r="O106" s="71"/>
    </row>
    <row r="107" spans="1:15">
      <c r="A107" s="90">
        <v>5411</v>
      </c>
      <c r="B107" s="104" t="s">
        <v>196</v>
      </c>
      <c r="C107" s="118">
        <v>208.33</v>
      </c>
      <c r="D107" s="118">
        <v>208.33</v>
      </c>
      <c r="E107" s="118">
        <v>208.33</v>
      </c>
      <c r="F107" s="118">
        <v>208.33</v>
      </c>
      <c r="G107" s="118">
        <v>208.33</v>
      </c>
      <c r="H107" s="118">
        <v>208.33</v>
      </c>
      <c r="I107" s="118">
        <v>208.33</v>
      </c>
      <c r="J107" s="118">
        <v>208.33</v>
      </c>
      <c r="K107" s="118">
        <v>208.33</v>
      </c>
      <c r="L107" s="118">
        <v>208.33</v>
      </c>
      <c r="M107" s="118">
        <v>208.33</v>
      </c>
      <c r="N107" s="118">
        <v>208.33</v>
      </c>
      <c r="O107" s="71"/>
    </row>
    <row r="108" spans="1:15">
      <c r="A108" s="90">
        <v>5413</v>
      </c>
      <c r="B108" s="104" t="s">
        <v>197</v>
      </c>
      <c r="C108" s="95">
        <v>208.33</v>
      </c>
      <c r="D108" s="95">
        <v>208.33</v>
      </c>
      <c r="E108" s="95">
        <v>208.33</v>
      </c>
      <c r="F108" s="95">
        <v>208.33</v>
      </c>
      <c r="G108" s="95">
        <v>208.33</v>
      </c>
      <c r="H108" s="95">
        <v>208.33</v>
      </c>
      <c r="I108" s="95">
        <v>208.33</v>
      </c>
      <c r="J108" s="95">
        <v>208.33</v>
      </c>
      <c r="K108" s="95">
        <v>208.33</v>
      </c>
      <c r="L108" s="95">
        <v>208.33</v>
      </c>
      <c r="M108" s="95">
        <v>208.33</v>
      </c>
      <c r="N108" s="95">
        <v>208.33</v>
      </c>
      <c r="O108" s="71"/>
    </row>
    <row r="109" spans="1:15" ht="15.75" thickBot="1">
      <c r="A109" s="90">
        <v>5459</v>
      </c>
      <c r="B109" s="104" t="s">
        <v>198</v>
      </c>
      <c r="C109" s="172">
        <v>1000</v>
      </c>
      <c r="D109" s="172">
        <v>1000</v>
      </c>
      <c r="E109" s="172">
        <v>1000</v>
      </c>
      <c r="F109" s="172">
        <v>1000</v>
      </c>
      <c r="G109" s="172">
        <v>1000</v>
      </c>
      <c r="H109" s="172">
        <v>1000</v>
      </c>
      <c r="I109" s="172">
        <v>1000</v>
      </c>
      <c r="J109" s="172">
        <v>1000</v>
      </c>
      <c r="K109" s="172">
        <v>1000</v>
      </c>
      <c r="L109" s="172">
        <v>1000</v>
      </c>
      <c r="M109" s="172">
        <v>1000</v>
      </c>
      <c r="N109" s="95">
        <v>1000</v>
      </c>
      <c r="O109" s="71"/>
    </row>
    <row r="110" spans="1:15" ht="15.75" thickBot="1">
      <c r="A110" s="36">
        <v>57300</v>
      </c>
      <c r="B110" s="50" t="s">
        <v>199</v>
      </c>
      <c r="C110" s="174"/>
      <c r="D110" s="175"/>
      <c r="E110" s="175"/>
      <c r="F110" s="175"/>
      <c r="G110" s="176"/>
      <c r="H110" s="175"/>
      <c r="I110" s="175"/>
      <c r="J110" s="175"/>
      <c r="K110" s="175"/>
      <c r="L110" s="175"/>
      <c r="M110" s="175"/>
      <c r="N110" s="177"/>
      <c r="O110" s="71"/>
    </row>
    <row r="111" spans="1:15">
      <c r="A111" s="173">
        <v>4582</v>
      </c>
      <c r="B111" s="178" t="s">
        <v>200</v>
      </c>
      <c r="C111" s="95">
        <v>937.5</v>
      </c>
      <c r="D111" s="95">
        <v>937.5</v>
      </c>
      <c r="E111" s="95">
        <v>937.5</v>
      </c>
      <c r="F111" s="95">
        <v>937.5</v>
      </c>
      <c r="G111" s="95">
        <v>937.5</v>
      </c>
      <c r="H111" s="95">
        <v>937.5</v>
      </c>
      <c r="I111" s="95">
        <v>937.5</v>
      </c>
      <c r="J111" s="95">
        <v>937.5</v>
      </c>
      <c r="K111" s="95">
        <v>937.5</v>
      </c>
      <c r="L111" s="95">
        <v>937.5</v>
      </c>
      <c r="M111" s="95">
        <v>937.5</v>
      </c>
      <c r="N111" s="95">
        <v>937.5</v>
      </c>
      <c r="O111" s="71"/>
    </row>
    <row r="112" spans="1:15">
      <c r="A112" s="173">
        <v>5400</v>
      </c>
      <c r="B112" s="179" t="s">
        <v>201</v>
      </c>
      <c r="C112" s="95">
        <v>416.67</v>
      </c>
      <c r="D112" s="95">
        <v>416.67</v>
      </c>
      <c r="E112" s="95">
        <v>416.67</v>
      </c>
      <c r="F112" s="95">
        <v>416.67</v>
      </c>
      <c r="G112" s="95">
        <v>416.67</v>
      </c>
      <c r="H112" s="95">
        <v>416.67</v>
      </c>
      <c r="I112" s="95">
        <v>416.67</v>
      </c>
      <c r="J112" s="95">
        <v>416.67</v>
      </c>
      <c r="K112" s="95">
        <v>416.67</v>
      </c>
      <c r="L112" s="95">
        <v>416.67</v>
      </c>
      <c r="M112" s="95">
        <v>416.67</v>
      </c>
      <c r="N112" s="95">
        <v>416.67</v>
      </c>
      <c r="O112" s="71"/>
    </row>
    <row r="113" spans="1:15">
      <c r="A113" s="173">
        <v>5401</v>
      </c>
      <c r="B113" s="179" t="s">
        <v>202</v>
      </c>
      <c r="C113" s="95">
        <v>666.67</v>
      </c>
      <c r="D113" s="95">
        <v>666.67</v>
      </c>
      <c r="E113" s="95">
        <v>666.67</v>
      </c>
      <c r="F113" s="95">
        <v>666.67</v>
      </c>
      <c r="G113" s="95">
        <v>666.67</v>
      </c>
      <c r="H113" s="95">
        <v>666.67</v>
      </c>
      <c r="I113" s="95">
        <v>666.67</v>
      </c>
      <c r="J113" s="95">
        <v>666.67</v>
      </c>
      <c r="K113" s="95">
        <v>666.67</v>
      </c>
      <c r="L113" s="95">
        <v>666.67</v>
      </c>
      <c r="M113" s="95">
        <v>666.67</v>
      </c>
      <c r="N113" s="95">
        <v>666.67</v>
      </c>
      <c r="O113" s="71"/>
    </row>
    <row r="114" spans="1:15">
      <c r="A114" s="173">
        <v>5403</v>
      </c>
      <c r="B114" s="179" t="s">
        <v>203</v>
      </c>
      <c r="C114" s="95">
        <v>85</v>
      </c>
      <c r="D114" s="95">
        <v>85</v>
      </c>
      <c r="E114" s="95">
        <v>85</v>
      </c>
      <c r="F114" s="95">
        <v>85</v>
      </c>
      <c r="G114" s="95">
        <v>85</v>
      </c>
      <c r="H114" s="95">
        <v>85</v>
      </c>
      <c r="I114" s="95">
        <v>85</v>
      </c>
      <c r="J114" s="95">
        <v>85</v>
      </c>
      <c r="K114" s="95">
        <v>85</v>
      </c>
      <c r="L114" s="95">
        <v>85</v>
      </c>
      <c r="M114" s="95">
        <v>85</v>
      </c>
      <c r="N114" s="95">
        <v>85</v>
      </c>
      <c r="O114" s="71"/>
    </row>
    <row r="115" spans="1:15">
      <c r="A115" s="90">
        <v>5405</v>
      </c>
      <c r="B115" s="178" t="s">
        <v>204</v>
      </c>
      <c r="C115" s="95">
        <v>125</v>
      </c>
      <c r="D115" s="95">
        <v>125</v>
      </c>
      <c r="E115" s="95">
        <v>125</v>
      </c>
      <c r="F115" s="95">
        <v>125</v>
      </c>
      <c r="G115" s="95">
        <v>125</v>
      </c>
      <c r="H115" s="95">
        <v>125</v>
      </c>
      <c r="I115" s="95">
        <v>125</v>
      </c>
      <c r="J115" s="95">
        <v>125</v>
      </c>
      <c r="K115" s="95">
        <v>125</v>
      </c>
      <c r="L115" s="95">
        <v>125</v>
      </c>
      <c r="M115" s="95">
        <v>125</v>
      </c>
      <c r="N115" s="95">
        <v>125</v>
      </c>
      <c r="O115" s="71"/>
    </row>
    <row r="116" spans="1:15">
      <c r="A116" s="90">
        <v>5407</v>
      </c>
      <c r="B116" s="180" t="s">
        <v>205</v>
      </c>
      <c r="C116" s="118">
        <v>833.33</v>
      </c>
      <c r="D116" s="118">
        <v>833.33</v>
      </c>
      <c r="E116" s="118">
        <v>833.33</v>
      </c>
      <c r="F116" s="118">
        <v>833.33</v>
      </c>
      <c r="G116" s="118">
        <v>833.33</v>
      </c>
      <c r="H116" s="118">
        <v>833.33</v>
      </c>
      <c r="I116" s="118">
        <v>833.33</v>
      </c>
      <c r="J116" s="118">
        <v>833.33</v>
      </c>
      <c r="K116" s="118">
        <v>833.33</v>
      </c>
      <c r="L116" s="118">
        <v>833.33</v>
      </c>
      <c r="M116" s="118">
        <v>833.33</v>
      </c>
      <c r="N116" s="118">
        <v>833.33</v>
      </c>
      <c r="O116" s="71"/>
    </row>
    <row r="117" spans="1:15">
      <c r="A117" s="90">
        <v>5409</v>
      </c>
      <c r="B117" s="178" t="s">
        <v>206</v>
      </c>
      <c r="C117" s="99">
        <v>25</v>
      </c>
      <c r="D117" s="99">
        <v>25</v>
      </c>
      <c r="E117" s="99">
        <v>25</v>
      </c>
      <c r="F117" s="99">
        <v>25</v>
      </c>
      <c r="G117" s="99">
        <v>25</v>
      </c>
      <c r="H117" s="99">
        <v>25</v>
      </c>
      <c r="I117" s="99">
        <v>25</v>
      </c>
      <c r="J117" s="99">
        <v>25</v>
      </c>
      <c r="K117" s="99">
        <v>25</v>
      </c>
      <c r="L117" s="99">
        <v>25</v>
      </c>
      <c r="M117" s="99">
        <v>25</v>
      </c>
      <c r="N117" s="99">
        <v>25</v>
      </c>
      <c r="O117" s="71"/>
    </row>
    <row r="118" spans="1:15">
      <c r="A118" s="173">
        <v>5414</v>
      </c>
      <c r="B118" s="179" t="s">
        <v>207</v>
      </c>
      <c r="C118" s="95">
        <v>833.33</v>
      </c>
      <c r="D118" s="95">
        <v>833.33</v>
      </c>
      <c r="E118" s="95">
        <v>833.33</v>
      </c>
      <c r="F118" s="95">
        <v>833.33</v>
      </c>
      <c r="G118" s="95">
        <v>833.33</v>
      </c>
      <c r="H118" s="95">
        <v>833.33</v>
      </c>
      <c r="I118" s="95">
        <v>833.33</v>
      </c>
      <c r="J118" s="95">
        <v>833.33</v>
      </c>
      <c r="K118" s="95">
        <v>833.33</v>
      </c>
      <c r="L118" s="95">
        <v>833.33</v>
      </c>
      <c r="M118" s="95">
        <v>833.33</v>
      </c>
      <c r="N118" s="95">
        <v>833.33</v>
      </c>
      <c r="O118" s="71"/>
    </row>
    <row r="119" spans="1:15">
      <c r="A119" s="90">
        <v>5431</v>
      </c>
      <c r="B119" s="178" t="s">
        <v>208</v>
      </c>
      <c r="C119" s="95">
        <v>716.67</v>
      </c>
      <c r="D119" s="95">
        <v>716.67</v>
      </c>
      <c r="E119" s="95">
        <v>716.67</v>
      </c>
      <c r="F119" s="95">
        <v>716.67</v>
      </c>
      <c r="G119" s="95">
        <v>716.67</v>
      </c>
      <c r="H119" s="95">
        <v>716.67</v>
      </c>
      <c r="I119" s="95">
        <v>716.67</v>
      </c>
      <c r="J119" s="95">
        <v>716.67</v>
      </c>
      <c r="K119" s="95">
        <v>716.67</v>
      </c>
      <c r="L119" s="95">
        <v>716.67</v>
      </c>
      <c r="M119" s="95">
        <v>716.67</v>
      </c>
      <c r="N119" s="95">
        <v>716.67</v>
      </c>
      <c r="O119" s="71"/>
    </row>
    <row r="120" spans="1:15" ht="15.75" thickBot="1">
      <c r="A120" s="90">
        <v>5433</v>
      </c>
      <c r="B120" s="180" t="s">
        <v>209</v>
      </c>
      <c r="C120" s="118">
        <v>1666.67</v>
      </c>
      <c r="D120" s="118">
        <v>1666.67</v>
      </c>
      <c r="E120" s="118">
        <v>1666.67</v>
      </c>
      <c r="F120" s="118">
        <v>1666.67</v>
      </c>
      <c r="G120" s="118">
        <v>1666.67</v>
      </c>
      <c r="H120" s="118">
        <v>1666.67</v>
      </c>
      <c r="I120" s="118">
        <v>1666.67</v>
      </c>
      <c r="J120" s="118">
        <v>1666.67</v>
      </c>
      <c r="K120" s="118">
        <v>1666.67</v>
      </c>
      <c r="L120" s="118">
        <v>1666.67</v>
      </c>
      <c r="M120" s="118">
        <v>1666.67</v>
      </c>
      <c r="N120" s="118">
        <v>1666.67</v>
      </c>
      <c r="O120" s="71"/>
    </row>
    <row r="121" spans="1:15" ht="15.75" thickBot="1">
      <c r="A121" s="36">
        <v>57900</v>
      </c>
      <c r="B121" s="50" t="s">
        <v>210</v>
      </c>
      <c r="C121" s="174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7"/>
      <c r="O121" s="71"/>
    </row>
    <row r="122" spans="1:15">
      <c r="A122" s="94">
        <v>4614</v>
      </c>
      <c r="B122" s="181" t="s">
        <v>211</v>
      </c>
      <c r="C122" s="110">
        <v>1250.08</v>
      </c>
      <c r="D122" s="110">
        <v>1250.08</v>
      </c>
      <c r="E122" s="110">
        <v>1250.08</v>
      </c>
      <c r="F122" s="110">
        <v>1250.08</v>
      </c>
      <c r="G122" s="110">
        <v>1250.08</v>
      </c>
      <c r="H122" s="110">
        <v>1250.08</v>
      </c>
      <c r="I122" s="110">
        <v>1250.08</v>
      </c>
      <c r="J122" s="110">
        <v>1250.08</v>
      </c>
      <c r="K122" s="110">
        <v>1250.08</v>
      </c>
      <c r="L122" s="110">
        <v>1250.08</v>
      </c>
      <c r="M122" s="110">
        <v>1250.08</v>
      </c>
      <c r="N122" s="110">
        <v>1250.08</v>
      </c>
      <c r="O122" s="71"/>
    </row>
    <row r="123" spans="1:15" ht="15.75" thickBot="1">
      <c r="A123" s="94">
        <v>6401</v>
      </c>
      <c r="B123" s="181" t="s">
        <v>212</v>
      </c>
      <c r="C123" s="155">
        <v>19138.580000000002</v>
      </c>
      <c r="D123" s="155">
        <v>19138.580000000002</v>
      </c>
      <c r="E123" s="155">
        <v>19138.580000000002</v>
      </c>
      <c r="F123" s="155">
        <v>19138.580000000002</v>
      </c>
      <c r="G123" s="155">
        <v>19138.580000000002</v>
      </c>
      <c r="H123" s="155">
        <v>19138.580000000002</v>
      </c>
      <c r="I123" s="155">
        <v>19138.580000000002</v>
      </c>
      <c r="J123" s="155">
        <v>19138.580000000002</v>
      </c>
      <c r="K123" s="155">
        <v>19138.580000000002</v>
      </c>
      <c r="L123" s="155">
        <v>19138.580000000002</v>
      </c>
      <c r="M123" s="155">
        <v>19138.580000000002</v>
      </c>
      <c r="N123" s="110">
        <v>19138.580000000002</v>
      </c>
      <c r="O123" s="71"/>
    </row>
    <row r="124" spans="1:15" ht="15.75" thickBot="1">
      <c r="B124" s="182" t="s">
        <v>213</v>
      </c>
      <c r="C124" s="183">
        <f>SUM(C17:C123)</f>
        <v>355145.77999999997</v>
      </c>
      <c r="D124" s="184">
        <f>SUM(D17:D123)</f>
        <v>249793.33000000002</v>
      </c>
      <c r="E124" s="184">
        <f>SUM(E17:E123)</f>
        <v>260632.88</v>
      </c>
      <c r="F124" s="184">
        <f t="shared" ref="F124:N124" si="1">SUM(F17:F123)</f>
        <v>246178.00000000006</v>
      </c>
      <c r="G124" s="184">
        <f t="shared" si="1"/>
        <v>246178.00000000006</v>
      </c>
      <c r="H124" s="184">
        <f t="shared" si="1"/>
        <v>246178.00000000006</v>
      </c>
      <c r="I124" s="184">
        <f t="shared" si="1"/>
        <v>246178.00000000006</v>
      </c>
      <c r="J124" s="184">
        <f t="shared" si="1"/>
        <v>246178.00000000006</v>
      </c>
      <c r="K124" s="184">
        <f t="shared" si="1"/>
        <v>250178.00000000006</v>
      </c>
      <c r="L124" s="184">
        <f t="shared" si="1"/>
        <v>246178.00000000006</v>
      </c>
      <c r="M124" s="184">
        <f t="shared" si="1"/>
        <v>246178.00000000006</v>
      </c>
      <c r="N124" s="184">
        <f t="shared" si="1"/>
        <v>250331.00000000006</v>
      </c>
      <c r="O124" s="1">
        <f>SUM(C124:N124)</f>
        <v>3089326.99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3"/>
  <sheetViews>
    <sheetView topLeftCell="A16" workbookViewId="0">
      <selection activeCell="C15" sqref="C15"/>
    </sheetView>
  </sheetViews>
  <sheetFormatPr defaultRowHeight="15"/>
  <cols>
    <col min="1" max="1" width="9.5703125" bestFit="1" customWidth="1"/>
    <col min="2" max="2" width="47.5703125" customWidth="1"/>
    <col min="3" max="3" width="10.28515625" customWidth="1"/>
    <col min="4" max="14" width="9.28515625" customWidth="1"/>
    <col min="15" max="15" width="13.28515625" customWidth="1"/>
  </cols>
  <sheetData>
    <row r="1" spans="1:15"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</row>
    <row r="2" spans="1:15">
      <c r="C2" s="29"/>
      <c r="D2" s="29"/>
      <c r="E2" s="28"/>
      <c r="F2" s="29"/>
      <c r="G2" s="29"/>
      <c r="H2" s="29"/>
      <c r="I2" s="29"/>
      <c r="J2" s="29"/>
      <c r="K2" s="29"/>
      <c r="L2" s="29"/>
      <c r="M2" s="27"/>
      <c r="N2" s="27"/>
    </row>
    <row r="3" spans="1:15">
      <c r="C3" s="29"/>
      <c r="D3" s="29"/>
      <c r="E3" s="28"/>
      <c r="F3" s="29"/>
      <c r="G3" s="29"/>
      <c r="H3" s="29"/>
      <c r="I3" s="29"/>
      <c r="J3" s="29"/>
      <c r="K3" s="29"/>
      <c r="L3" s="29"/>
      <c r="M3" s="27"/>
      <c r="N3" s="27"/>
    </row>
    <row r="4" spans="1:15">
      <c r="C4" s="29"/>
      <c r="D4" s="29"/>
      <c r="E4" s="28"/>
      <c r="F4" s="29"/>
      <c r="G4" s="29"/>
      <c r="H4" s="29"/>
      <c r="I4" s="29"/>
      <c r="J4" s="29"/>
      <c r="K4" s="29"/>
      <c r="L4" s="29"/>
      <c r="M4" s="27"/>
      <c r="N4" s="27"/>
    </row>
    <row r="5" spans="1:15">
      <c r="C5" s="29"/>
      <c r="D5" s="29"/>
      <c r="E5" s="30"/>
      <c r="F5" s="29"/>
      <c r="G5" s="29"/>
      <c r="H5" s="29"/>
      <c r="I5" s="29"/>
      <c r="J5" s="29"/>
      <c r="K5" s="29"/>
      <c r="L5" s="29"/>
      <c r="M5" s="27"/>
      <c r="N5" s="27"/>
    </row>
    <row r="6" spans="1:15" ht="15.75" thickBot="1">
      <c r="B6" s="31"/>
      <c r="C6" s="26">
        <v>1</v>
      </c>
      <c r="D6" s="26">
        <f>C6+1</f>
        <v>2</v>
      </c>
      <c r="E6" s="26">
        <f>D6+1</f>
        <v>3</v>
      </c>
      <c r="F6" s="26">
        <f>E6+1</f>
        <v>4</v>
      </c>
      <c r="G6" s="26">
        <f>F6+1</f>
        <v>5</v>
      </c>
      <c r="H6" s="26">
        <f>G6+1</f>
        <v>6</v>
      </c>
      <c r="I6" s="26">
        <v>7</v>
      </c>
      <c r="J6" s="26">
        <v>8</v>
      </c>
      <c r="K6" s="26">
        <v>9</v>
      </c>
      <c r="L6" s="26">
        <v>10</v>
      </c>
      <c r="M6" s="26">
        <v>11</v>
      </c>
      <c r="N6" s="26">
        <v>12</v>
      </c>
    </row>
    <row r="7" spans="1:15" ht="15.75" thickBot="1">
      <c r="A7">
        <v>10</v>
      </c>
      <c r="B7" s="32" t="s">
        <v>96</v>
      </c>
      <c r="C7" s="33">
        <v>43009</v>
      </c>
      <c r="D7" s="33">
        <v>43040</v>
      </c>
      <c r="E7" s="33">
        <v>43070</v>
      </c>
      <c r="F7" s="34">
        <v>43101</v>
      </c>
      <c r="G7" s="33">
        <v>43132</v>
      </c>
      <c r="H7" s="35">
        <v>43160</v>
      </c>
      <c r="I7" s="33">
        <v>43191</v>
      </c>
      <c r="J7" s="33">
        <v>43221</v>
      </c>
      <c r="K7" s="33">
        <v>43252</v>
      </c>
      <c r="L7" s="33">
        <v>43282</v>
      </c>
      <c r="M7" s="33">
        <v>43313</v>
      </c>
      <c r="N7" s="33">
        <v>43344</v>
      </c>
      <c r="O7" s="33" t="s">
        <v>214</v>
      </c>
    </row>
    <row r="8" spans="1:15" ht="15.75" thickBot="1">
      <c r="A8" s="36">
        <v>36100</v>
      </c>
      <c r="B8" s="37"/>
      <c r="C8" s="38"/>
      <c r="D8" s="39"/>
      <c r="E8" s="39"/>
      <c r="F8" s="39"/>
      <c r="G8" s="40"/>
      <c r="H8" s="39"/>
      <c r="I8" s="39"/>
      <c r="J8" s="39"/>
      <c r="K8" s="39"/>
      <c r="L8" s="39"/>
      <c r="M8" s="39"/>
      <c r="N8" s="41"/>
      <c r="O8" s="41"/>
    </row>
    <row r="9" spans="1:15" ht="15.75" thickBot="1">
      <c r="A9" s="42" t="s">
        <v>97</v>
      </c>
      <c r="B9" s="43" t="s">
        <v>98</v>
      </c>
      <c r="C9" s="185"/>
      <c r="D9" s="186"/>
      <c r="E9" s="187"/>
      <c r="F9" s="187"/>
      <c r="G9" s="188"/>
      <c r="H9" s="186"/>
      <c r="I9" s="188"/>
      <c r="J9" s="187"/>
      <c r="K9" s="187"/>
      <c r="L9" s="187"/>
      <c r="M9" s="187"/>
      <c r="N9" s="188"/>
      <c r="O9" s="188"/>
    </row>
    <row r="10" spans="1:15" ht="15.75" thickBot="1">
      <c r="A10" s="36">
        <v>36310</v>
      </c>
      <c r="B10" s="50" t="s">
        <v>99</v>
      </c>
      <c r="C10" s="189"/>
      <c r="D10" s="190"/>
      <c r="E10" s="190"/>
      <c r="F10" s="190"/>
      <c r="G10" s="189"/>
      <c r="H10" s="190"/>
      <c r="I10" s="190"/>
      <c r="J10" s="190"/>
      <c r="K10" s="190"/>
      <c r="L10" s="190"/>
      <c r="M10" s="190"/>
      <c r="N10" s="191"/>
      <c r="O10" s="191"/>
    </row>
    <row r="11" spans="1:15" ht="15.75" thickBot="1">
      <c r="A11">
        <v>1001</v>
      </c>
      <c r="B11" s="53" t="s">
        <v>100</v>
      </c>
      <c r="C11" s="54">
        <v>2569571</v>
      </c>
      <c r="D11" s="55"/>
      <c r="E11" s="55"/>
      <c r="F11" s="56"/>
      <c r="G11" s="54"/>
      <c r="H11" s="55"/>
      <c r="I11" s="54"/>
      <c r="J11" s="56"/>
      <c r="K11" s="56"/>
      <c r="L11" s="56"/>
      <c r="M11" s="56"/>
      <c r="N11" s="54"/>
      <c r="O11" s="54">
        <f>SUM(C11:N11)</f>
        <v>2569571</v>
      </c>
    </row>
    <row r="12" spans="1:15" ht="15.75" thickBot="1">
      <c r="A12">
        <v>1010</v>
      </c>
      <c r="B12" s="53" t="s">
        <v>101</v>
      </c>
      <c r="C12" s="57">
        <v>154740</v>
      </c>
      <c r="D12" s="58"/>
      <c r="E12" s="58"/>
      <c r="F12" s="59"/>
      <c r="G12" s="57"/>
      <c r="H12" s="58"/>
      <c r="I12" s="57"/>
      <c r="J12" s="59"/>
      <c r="K12" s="59"/>
      <c r="L12" s="59"/>
      <c r="M12" s="59"/>
      <c r="N12" s="57"/>
      <c r="O12" s="54">
        <f t="shared" ref="O12:O14" si="0">SUM(C12:N12)</f>
        <v>154740</v>
      </c>
    </row>
    <row r="13" spans="1:15" ht="15.75" thickBot="1">
      <c r="A13">
        <v>1012</v>
      </c>
      <c r="B13" s="53" t="s">
        <v>102</v>
      </c>
      <c r="C13" s="57">
        <v>768515</v>
      </c>
      <c r="D13" s="60"/>
      <c r="E13" s="60"/>
      <c r="F13" s="61"/>
      <c r="G13" s="62"/>
      <c r="H13" s="60"/>
      <c r="I13" s="63"/>
      <c r="J13" s="64"/>
      <c r="K13" s="64"/>
      <c r="L13" s="64"/>
      <c r="M13" s="64"/>
      <c r="N13" s="63"/>
      <c r="O13" s="54">
        <f t="shared" si="0"/>
        <v>768515</v>
      </c>
    </row>
    <row r="14" spans="1:15" ht="15.75" thickBot="1">
      <c r="B14" s="65" t="s">
        <v>103</v>
      </c>
      <c r="C14" s="66"/>
      <c r="D14" s="67"/>
      <c r="E14" s="67"/>
      <c r="F14" s="68"/>
      <c r="G14" s="69"/>
      <c r="H14" s="70"/>
      <c r="I14" s="69"/>
      <c r="J14" s="68"/>
      <c r="K14" s="66"/>
      <c r="L14" s="68"/>
      <c r="M14" s="68"/>
      <c r="N14" s="69"/>
      <c r="O14" s="54">
        <f t="shared" si="0"/>
        <v>0</v>
      </c>
    </row>
    <row r="15" spans="1:15" ht="15.75" thickBot="1">
      <c r="B15" s="72" t="s">
        <v>104</v>
      </c>
      <c r="C15" s="73">
        <f t="shared" ref="C15:N15" si="1">SUM(C9:C14)</f>
        <v>3492826</v>
      </c>
      <c r="D15" s="74">
        <f t="shared" si="1"/>
        <v>0</v>
      </c>
      <c r="E15" s="73">
        <f t="shared" si="1"/>
        <v>0</v>
      </c>
      <c r="F15" s="75">
        <f t="shared" si="1"/>
        <v>0</v>
      </c>
      <c r="G15" s="73">
        <f t="shared" si="1"/>
        <v>0</v>
      </c>
      <c r="H15" s="74">
        <f t="shared" si="1"/>
        <v>0</v>
      </c>
      <c r="I15" s="73">
        <f t="shared" si="1"/>
        <v>0</v>
      </c>
      <c r="J15" s="75">
        <f t="shared" si="1"/>
        <v>0</v>
      </c>
      <c r="K15" s="75">
        <f t="shared" si="1"/>
        <v>0</v>
      </c>
      <c r="L15" s="75">
        <f t="shared" si="1"/>
        <v>0</v>
      </c>
      <c r="M15" s="75">
        <f t="shared" si="1"/>
        <v>0</v>
      </c>
      <c r="N15" s="76">
        <f t="shared" si="1"/>
        <v>0</v>
      </c>
      <c r="O15" s="76">
        <f>SUM(C15:N15)</f>
        <v>3492826</v>
      </c>
    </row>
    <row r="16" spans="1:15" ht="15.75" thickBot="1">
      <c r="B16" s="77" t="s">
        <v>105</v>
      </c>
      <c r="C16" s="78"/>
      <c r="D16" s="79"/>
      <c r="E16" s="80"/>
      <c r="F16" s="81"/>
      <c r="G16" s="78"/>
      <c r="H16" s="79"/>
      <c r="I16" s="80"/>
      <c r="J16" s="82"/>
      <c r="K16" s="80"/>
      <c r="L16" s="82"/>
      <c r="M16" s="80"/>
      <c r="N16" s="82"/>
      <c r="O16" s="82"/>
    </row>
    <row r="17" spans="1:15" ht="15.75" thickBot="1">
      <c r="A17" s="36">
        <v>51100</v>
      </c>
      <c r="B17" s="50" t="s">
        <v>106</v>
      </c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85"/>
    </row>
    <row r="18" spans="1:15" ht="15.75" thickBot="1">
      <c r="A18">
        <v>1101</v>
      </c>
      <c r="B18" s="86" t="s">
        <v>107</v>
      </c>
      <c r="C18" s="87">
        <f>18000/12</f>
        <v>1500</v>
      </c>
      <c r="D18" s="87">
        <f>C18</f>
        <v>1500</v>
      </c>
      <c r="E18" s="87">
        <f t="shared" ref="E18:N18" si="2">D18</f>
        <v>1500</v>
      </c>
      <c r="F18" s="87">
        <f t="shared" si="2"/>
        <v>1500</v>
      </c>
      <c r="G18" s="87">
        <f t="shared" si="2"/>
        <v>1500</v>
      </c>
      <c r="H18" s="87">
        <f t="shared" si="2"/>
        <v>1500</v>
      </c>
      <c r="I18" s="87">
        <f t="shared" si="2"/>
        <v>1500</v>
      </c>
      <c r="J18" s="87">
        <f t="shared" si="2"/>
        <v>1500</v>
      </c>
      <c r="K18" s="87">
        <f t="shared" si="2"/>
        <v>1500</v>
      </c>
      <c r="L18" s="87">
        <f t="shared" si="2"/>
        <v>1500</v>
      </c>
      <c r="M18" s="87">
        <f t="shared" si="2"/>
        <v>1500</v>
      </c>
      <c r="N18" s="87">
        <f t="shared" si="2"/>
        <v>1500</v>
      </c>
      <c r="O18" s="87">
        <f>SUM(C18:N18)</f>
        <v>18000</v>
      </c>
    </row>
    <row r="19" spans="1:15" ht="15.75" thickBot="1">
      <c r="A19" s="36">
        <v>51300</v>
      </c>
      <c r="B19" s="50" t="s">
        <v>108</v>
      </c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5"/>
    </row>
    <row r="20" spans="1:15">
      <c r="A20" s="90">
        <v>3100</v>
      </c>
      <c r="B20" s="91" t="s">
        <v>109</v>
      </c>
      <c r="C20" s="92">
        <f>10000/12</f>
        <v>833.33333333333337</v>
      </c>
      <c r="D20" s="92">
        <f t="shared" ref="D20:N20" si="3">10000/12</f>
        <v>833.33333333333337</v>
      </c>
      <c r="E20" s="92">
        <f t="shared" si="3"/>
        <v>833.33333333333337</v>
      </c>
      <c r="F20" s="92">
        <f t="shared" si="3"/>
        <v>833.33333333333337</v>
      </c>
      <c r="G20" s="92">
        <f t="shared" si="3"/>
        <v>833.33333333333337</v>
      </c>
      <c r="H20" s="92">
        <f t="shared" si="3"/>
        <v>833.33333333333337</v>
      </c>
      <c r="I20" s="92">
        <f t="shared" si="3"/>
        <v>833.33333333333337</v>
      </c>
      <c r="J20" s="92">
        <f t="shared" si="3"/>
        <v>833.33333333333337</v>
      </c>
      <c r="K20" s="92">
        <f t="shared" si="3"/>
        <v>833.33333333333337</v>
      </c>
      <c r="L20" s="92">
        <f t="shared" si="3"/>
        <v>833.33333333333337</v>
      </c>
      <c r="M20" s="92">
        <f t="shared" si="3"/>
        <v>833.33333333333337</v>
      </c>
      <c r="N20" s="92">
        <f t="shared" si="3"/>
        <v>833.33333333333337</v>
      </c>
      <c r="O20" s="92">
        <f t="shared" ref="O20:O36" si="4">SUM(C20:N20)</f>
        <v>10000</v>
      </c>
    </row>
    <row r="21" spans="1:15">
      <c r="A21" s="94">
        <v>3101</v>
      </c>
      <c r="B21" s="53" t="s">
        <v>110</v>
      </c>
      <c r="C21" s="95">
        <f>40000/12</f>
        <v>3333.3333333333335</v>
      </c>
      <c r="D21" s="95">
        <f t="shared" ref="D21:N21" si="5">40000/12</f>
        <v>3333.3333333333335</v>
      </c>
      <c r="E21" s="95">
        <f t="shared" si="5"/>
        <v>3333.3333333333335</v>
      </c>
      <c r="F21" s="95">
        <f t="shared" si="5"/>
        <v>3333.3333333333335</v>
      </c>
      <c r="G21" s="95">
        <f t="shared" si="5"/>
        <v>3333.3333333333335</v>
      </c>
      <c r="H21" s="95">
        <f t="shared" si="5"/>
        <v>3333.3333333333335</v>
      </c>
      <c r="I21" s="95">
        <f t="shared" si="5"/>
        <v>3333.3333333333335</v>
      </c>
      <c r="J21" s="95">
        <f t="shared" si="5"/>
        <v>3333.3333333333335</v>
      </c>
      <c r="K21" s="95">
        <f t="shared" si="5"/>
        <v>3333.3333333333335</v>
      </c>
      <c r="L21" s="95">
        <f t="shared" si="5"/>
        <v>3333.3333333333335</v>
      </c>
      <c r="M21" s="95">
        <f t="shared" si="5"/>
        <v>3333.3333333333335</v>
      </c>
      <c r="N21" s="95">
        <f t="shared" si="5"/>
        <v>3333.3333333333335</v>
      </c>
      <c r="O21" s="95">
        <f t="shared" si="4"/>
        <v>40000</v>
      </c>
    </row>
    <row r="22" spans="1:15">
      <c r="A22" s="90">
        <v>3103</v>
      </c>
      <c r="B22" s="96" t="s">
        <v>111</v>
      </c>
      <c r="C22" s="97">
        <f>88500/12</f>
        <v>7375</v>
      </c>
      <c r="D22" s="97">
        <f t="shared" ref="D22:N22" si="6">88500/12</f>
        <v>7375</v>
      </c>
      <c r="E22" s="97">
        <f t="shared" si="6"/>
        <v>7375</v>
      </c>
      <c r="F22" s="97">
        <f t="shared" si="6"/>
        <v>7375</v>
      </c>
      <c r="G22" s="97">
        <f t="shared" si="6"/>
        <v>7375</v>
      </c>
      <c r="H22" s="97">
        <f t="shared" si="6"/>
        <v>7375</v>
      </c>
      <c r="I22" s="97">
        <f t="shared" si="6"/>
        <v>7375</v>
      </c>
      <c r="J22" s="97">
        <f t="shared" si="6"/>
        <v>7375</v>
      </c>
      <c r="K22" s="97">
        <f t="shared" si="6"/>
        <v>7375</v>
      </c>
      <c r="L22" s="97">
        <f t="shared" si="6"/>
        <v>7375</v>
      </c>
      <c r="M22" s="97">
        <f t="shared" si="6"/>
        <v>7375</v>
      </c>
      <c r="N22" s="97">
        <f t="shared" si="6"/>
        <v>7375</v>
      </c>
      <c r="O22" s="97">
        <f t="shared" si="4"/>
        <v>88500</v>
      </c>
    </row>
    <row r="23" spans="1:15">
      <c r="A23" s="90">
        <v>3104</v>
      </c>
      <c r="B23" s="98" t="s">
        <v>112</v>
      </c>
      <c r="C23" s="99">
        <f>7000/12</f>
        <v>583.33333333333337</v>
      </c>
      <c r="D23" s="99">
        <f t="shared" ref="D23:N23" si="7">7000/12</f>
        <v>583.33333333333337</v>
      </c>
      <c r="E23" s="99">
        <f t="shared" si="7"/>
        <v>583.33333333333337</v>
      </c>
      <c r="F23" s="99">
        <f t="shared" si="7"/>
        <v>583.33333333333337</v>
      </c>
      <c r="G23" s="99">
        <f t="shared" si="7"/>
        <v>583.33333333333337</v>
      </c>
      <c r="H23" s="99">
        <f t="shared" si="7"/>
        <v>583.33333333333337</v>
      </c>
      <c r="I23" s="99">
        <f t="shared" si="7"/>
        <v>583.33333333333337</v>
      </c>
      <c r="J23" s="99">
        <f t="shared" si="7"/>
        <v>583.33333333333337</v>
      </c>
      <c r="K23" s="99">
        <f t="shared" si="7"/>
        <v>583.33333333333337</v>
      </c>
      <c r="L23" s="99">
        <f t="shared" si="7"/>
        <v>583.33333333333337</v>
      </c>
      <c r="M23" s="99">
        <f t="shared" si="7"/>
        <v>583.33333333333337</v>
      </c>
      <c r="N23" s="99">
        <f t="shared" si="7"/>
        <v>583.33333333333337</v>
      </c>
      <c r="O23" s="99">
        <f t="shared" si="4"/>
        <v>6999.9999999999991</v>
      </c>
    </row>
    <row r="24" spans="1:15">
      <c r="A24" s="90">
        <v>3105</v>
      </c>
      <c r="B24" s="104" t="s">
        <v>113</v>
      </c>
      <c r="C24" s="99">
        <v>673.44</v>
      </c>
      <c r="D24" s="100"/>
      <c r="E24" s="102">
        <v>3367.19</v>
      </c>
      <c r="F24" s="106"/>
      <c r="G24" s="95"/>
      <c r="H24" s="105"/>
      <c r="I24" s="107"/>
      <c r="J24" s="95"/>
      <c r="K24" s="107"/>
      <c r="L24" s="95"/>
      <c r="M24" s="108"/>
      <c r="N24" s="109">
        <v>7959.37</v>
      </c>
      <c r="O24" s="109">
        <f t="shared" si="4"/>
        <v>12000</v>
      </c>
    </row>
    <row r="25" spans="1:15">
      <c r="A25" s="90"/>
      <c r="B25" s="178" t="s">
        <v>215</v>
      </c>
      <c r="C25" s="99">
        <v>5200</v>
      </c>
      <c r="D25" s="105"/>
      <c r="E25" s="192"/>
      <c r="F25" s="106"/>
      <c r="G25" s="95"/>
      <c r="H25" s="105"/>
      <c r="I25" s="107"/>
      <c r="J25" s="95"/>
      <c r="K25" s="107"/>
      <c r="L25" s="95"/>
      <c r="M25" s="108"/>
      <c r="N25" s="109"/>
      <c r="O25" s="109">
        <f t="shared" si="4"/>
        <v>5200</v>
      </c>
    </row>
    <row r="26" spans="1:15">
      <c r="A26" s="90">
        <v>3111</v>
      </c>
      <c r="B26" s="53" t="s">
        <v>114</v>
      </c>
      <c r="C26" s="99">
        <f>5200/12</f>
        <v>433.33333333333331</v>
      </c>
      <c r="D26" s="99">
        <f t="shared" ref="D26:N26" si="8">5200/12</f>
        <v>433.33333333333331</v>
      </c>
      <c r="E26" s="99">
        <f t="shared" si="8"/>
        <v>433.33333333333331</v>
      </c>
      <c r="F26" s="99">
        <f t="shared" si="8"/>
        <v>433.33333333333331</v>
      </c>
      <c r="G26" s="99">
        <f t="shared" si="8"/>
        <v>433.33333333333331</v>
      </c>
      <c r="H26" s="99">
        <f t="shared" si="8"/>
        <v>433.33333333333331</v>
      </c>
      <c r="I26" s="99">
        <f t="shared" si="8"/>
        <v>433.33333333333331</v>
      </c>
      <c r="J26" s="99">
        <f t="shared" si="8"/>
        <v>433.33333333333331</v>
      </c>
      <c r="K26" s="99">
        <f t="shared" si="8"/>
        <v>433.33333333333331</v>
      </c>
      <c r="L26" s="99">
        <f t="shared" si="8"/>
        <v>433.33333333333331</v>
      </c>
      <c r="M26" s="99">
        <f t="shared" si="8"/>
        <v>433.33333333333331</v>
      </c>
      <c r="N26" s="99">
        <f t="shared" si="8"/>
        <v>433.33333333333331</v>
      </c>
      <c r="O26" s="99">
        <f t="shared" si="4"/>
        <v>5200</v>
      </c>
    </row>
    <row r="27" spans="1:15">
      <c r="A27" s="90">
        <v>3201</v>
      </c>
      <c r="B27" s="53" t="s">
        <v>115</v>
      </c>
      <c r="C27" s="95">
        <f>22350/12</f>
        <v>1862.5</v>
      </c>
      <c r="D27" s="95">
        <f t="shared" ref="D27:N27" si="9">22350/12</f>
        <v>1862.5</v>
      </c>
      <c r="E27" s="95">
        <f t="shared" si="9"/>
        <v>1862.5</v>
      </c>
      <c r="F27" s="95">
        <f t="shared" si="9"/>
        <v>1862.5</v>
      </c>
      <c r="G27" s="95">
        <f t="shared" si="9"/>
        <v>1862.5</v>
      </c>
      <c r="H27" s="95">
        <f t="shared" si="9"/>
        <v>1862.5</v>
      </c>
      <c r="I27" s="95">
        <f t="shared" si="9"/>
        <v>1862.5</v>
      </c>
      <c r="J27" s="95">
        <f t="shared" si="9"/>
        <v>1862.5</v>
      </c>
      <c r="K27" s="95">
        <f t="shared" si="9"/>
        <v>1862.5</v>
      </c>
      <c r="L27" s="95">
        <f t="shared" si="9"/>
        <v>1862.5</v>
      </c>
      <c r="M27" s="95">
        <f t="shared" si="9"/>
        <v>1862.5</v>
      </c>
      <c r="N27" s="95">
        <f t="shared" si="9"/>
        <v>1862.5</v>
      </c>
      <c r="O27" s="95">
        <f t="shared" si="4"/>
        <v>22350</v>
      </c>
    </row>
    <row r="28" spans="1:15">
      <c r="A28" s="90">
        <v>3202</v>
      </c>
      <c r="B28" s="53" t="s">
        <v>116</v>
      </c>
      <c r="C28" s="95"/>
      <c r="D28" s="95"/>
      <c r="E28" s="95"/>
      <c r="F28" s="95"/>
      <c r="G28" s="95"/>
      <c r="H28" s="95"/>
      <c r="I28" s="95"/>
      <c r="J28" s="95"/>
      <c r="K28" s="95">
        <v>3700</v>
      </c>
      <c r="L28" s="95"/>
      <c r="M28" s="95"/>
      <c r="N28" s="95"/>
      <c r="O28" s="95">
        <f t="shared" si="4"/>
        <v>3700</v>
      </c>
    </row>
    <row r="29" spans="1:15">
      <c r="A29" s="90">
        <v>3203</v>
      </c>
      <c r="B29" s="53" t="s">
        <v>117</v>
      </c>
      <c r="C29" s="99"/>
      <c r="D29" s="100"/>
      <c r="E29" s="101"/>
      <c r="F29" s="102"/>
      <c r="G29" s="102"/>
      <c r="H29" s="102"/>
      <c r="I29" s="102"/>
      <c r="J29" s="102"/>
      <c r="K29" s="102"/>
      <c r="L29" s="99"/>
      <c r="M29" s="103"/>
      <c r="N29" s="63">
        <v>1500</v>
      </c>
      <c r="O29" s="63">
        <f t="shared" si="4"/>
        <v>1500</v>
      </c>
    </row>
    <row r="30" spans="1:15">
      <c r="A30" s="90"/>
      <c r="B30" s="193" t="s">
        <v>216</v>
      </c>
      <c r="C30" s="99">
        <f>1500/12</f>
        <v>125</v>
      </c>
      <c r="D30" s="99">
        <f t="shared" ref="D30:N30" si="10">1500/12</f>
        <v>125</v>
      </c>
      <c r="E30" s="99">
        <f t="shared" si="10"/>
        <v>125</v>
      </c>
      <c r="F30" s="99">
        <f t="shared" si="10"/>
        <v>125</v>
      </c>
      <c r="G30" s="99">
        <f t="shared" si="10"/>
        <v>125</v>
      </c>
      <c r="H30" s="99">
        <f t="shared" si="10"/>
        <v>125</v>
      </c>
      <c r="I30" s="99">
        <f t="shared" si="10"/>
        <v>125</v>
      </c>
      <c r="J30" s="99">
        <f t="shared" si="10"/>
        <v>125</v>
      </c>
      <c r="K30" s="99">
        <f t="shared" si="10"/>
        <v>125</v>
      </c>
      <c r="L30" s="99">
        <f t="shared" si="10"/>
        <v>125</v>
      </c>
      <c r="M30" s="99">
        <f t="shared" si="10"/>
        <v>125</v>
      </c>
      <c r="N30" s="99">
        <f t="shared" si="10"/>
        <v>125</v>
      </c>
      <c r="O30" s="99">
        <f t="shared" si="4"/>
        <v>1500</v>
      </c>
    </row>
    <row r="31" spans="1:15">
      <c r="A31" s="90">
        <v>4501</v>
      </c>
      <c r="B31" s="104" t="s">
        <v>118</v>
      </c>
      <c r="C31" s="110">
        <v>5715</v>
      </c>
      <c r="D31" s="110"/>
      <c r="E31" s="111"/>
      <c r="F31" s="99"/>
      <c r="G31" s="99"/>
      <c r="H31" s="99"/>
      <c r="I31" s="99"/>
      <c r="J31" s="99"/>
      <c r="K31" s="99"/>
      <c r="L31" s="110"/>
      <c r="M31" s="103"/>
      <c r="N31" s="63"/>
      <c r="O31" s="63">
        <f t="shared" si="4"/>
        <v>5715</v>
      </c>
    </row>
    <row r="32" spans="1:15">
      <c r="A32" s="90">
        <v>4801</v>
      </c>
      <c r="B32" s="98" t="s">
        <v>119</v>
      </c>
      <c r="C32" s="99">
        <f>10000/12</f>
        <v>833.33333333333337</v>
      </c>
      <c r="D32" s="99">
        <f t="shared" ref="D32:N32" si="11">10000/12</f>
        <v>833.33333333333337</v>
      </c>
      <c r="E32" s="99">
        <f t="shared" si="11"/>
        <v>833.33333333333337</v>
      </c>
      <c r="F32" s="99">
        <f t="shared" si="11"/>
        <v>833.33333333333337</v>
      </c>
      <c r="G32" s="99">
        <f t="shared" si="11"/>
        <v>833.33333333333337</v>
      </c>
      <c r="H32" s="99">
        <f t="shared" si="11"/>
        <v>833.33333333333337</v>
      </c>
      <c r="I32" s="99">
        <f t="shared" si="11"/>
        <v>833.33333333333337</v>
      </c>
      <c r="J32" s="99">
        <f t="shared" si="11"/>
        <v>833.33333333333337</v>
      </c>
      <c r="K32" s="99">
        <f t="shared" si="11"/>
        <v>833.33333333333337</v>
      </c>
      <c r="L32" s="99">
        <f t="shared" si="11"/>
        <v>833.33333333333337</v>
      </c>
      <c r="M32" s="99">
        <f t="shared" si="11"/>
        <v>833.33333333333337</v>
      </c>
      <c r="N32" s="99">
        <f t="shared" si="11"/>
        <v>833.33333333333337</v>
      </c>
      <c r="O32" s="99">
        <f t="shared" si="4"/>
        <v>10000</v>
      </c>
    </row>
    <row r="33" spans="1:15">
      <c r="A33" s="112">
        <v>4902</v>
      </c>
      <c r="B33" s="98" t="s">
        <v>120</v>
      </c>
      <c r="C33" s="113">
        <f>4000/12</f>
        <v>333.33333333333331</v>
      </c>
      <c r="D33" s="113">
        <f t="shared" ref="D33:N33" si="12">4000/12</f>
        <v>333.33333333333331</v>
      </c>
      <c r="E33" s="113">
        <f t="shared" si="12"/>
        <v>333.33333333333331</v>
      </c>
      <c r="F33" s="113">
        <f t="shared" si="12"/>
        <v>333.33333333333331</v>
      </c>
      <c r="G33" s="113">
        <f t="shared" si="12"/>
        <v>333.33333333333331</v>
      </c>
      <c r="H33" s="113">
        <f t="shared" si="12"/>
        <v>333.33333333333331</v>
      </c>
      <c r="I33" s="113">
        <f t="shared" si="12"/>
        <v>333.33333333333331</v>
      </c>
      <c r="J33" s="113">
        <f t="shared" si="12"/>
        <v>333.33333333333331</v>
      </c>
      <c r="K33" s="113">
        <f t="shared" si="12"/>
        <v>333.33333333333331</v>
      </c>
      <c r="L33" s="113">
        <f t="shared" si="12"/>
        <v>333.33333333333331</v>
      </c>
      <c r="M33" s="113">
        <f t="shared" si="12"/>
        <v>333.33333333333331</v>
      </c>
      <c r="N33" s="113">
        <f t="shared" si="12"/>
        <v>333.33333333333331</v>
      </c>
      <c r="O33" s="113">
        <f t="shared" si="4"/>
        <v>4000.0000000000005</v>
      </c>
    </row>
    <row r="34" spans="1:15">
      <c r="A34" s="112"/>
      <c r="B34" s="178" t="s">
        <v>217</v>
      </c>
      <c r="C34" s="194">
        <f>3000/12</f>
        <v>250</v>
      </c>
      <c r="D34" s="194">
        <f t="shared" ref="D34:N34" si="13">3000/12</f>
        <v>250</v>
      </c>
      <c r="E34" s="194">
        <f t="shared" si="13"/>
        <v>250</v>
      </c>
      <c r="F34" s="194">
        <f t="shared" si="13"/>
        <v>250</v>
      </c>
      <c r="G34" s="194">
        <f t="shared" si="13"/>
        <v>250</v>
      </c>
      <c r="H34" s="194">
        <f t="shared" si="13"/>
        <v>250</v>
      </c>
      <c r="I34" s="194">
        <f t="shared" si="13"/>
        <v>250</v>
      </c>
      <c r="J34" s="194">
        <f t="shared" si="13"/>
        <v>250</v>
      </c>
      <c r="K34" s="194">
        <f t="shared" si="13"/>
        <v>250</v>
      </c>
      <c r="L34" s="194">
        <f t="shared" si="13"/>
        <v>250</v>
      </c>
      <c r="M34" s="194">
        <f t="shared" si="13"/>
        <v>250</v>
      </c>
      <c r="N34" s="194">
        <f t="shared" si="13"/>
        <v>250</v>
      </c>
      <c r="O34" s="194">
        <f t="shared" si="4"/>
        <v>3000</v>
      </c>
    </row>
    <row r="35" spans="1:15">
      <c r="A35" s="90">
        <v>4950</v>
      </c>
      <c r="B35" s="116" t="s">
        <v>121</v>
      </c>
      <c r="C35" s="92"/>
      <c r="D35" s="92">
        <v>3615</v>
      </c>
      <c r="E35" s="117"/>
      <c r="F35" s="93"/>
      <c r="G35" s="92"/>
      <c r="H35" s="92"/>
      <c r="I35" s="92"/>
      <c r="J35" s="92"/>
      <c r="K35" s="117"/>
      <c r="L35" s="92"/>
      <c r="M35" s="117"/>
      <c r="N35" s="92"/>
      <c r="O35" s="92">
        <f t="shared" si="4"/>
        <v>3615</v>
      </c>
    </row>
    <row r="36" spans="1:15" ht="15.75" thickBot="1">
      <c r="A36" s="90">
        <v>5103</v>
      </c>
      <c r="B36" s="86" t="s">
        <v>218</v>
      </c>
      <c r="C36" s="118">
        <f>3600/12</f>
        <v>300</v>
      </c>
      <c r="D36" s="118">
        <f t="shared" ref="D36:N36" si="14">3600/12</f>
        <v>300</v>
      </c>
      <c r="E36" s="118">
        <f t="shared" si="14"/>
        <v>300</v>
      </c>
      <c r="F36" s="118">
        <f t="shared" si="14"/>
        <v>300</v>
      </c>
      <c r="G36" s="118">
        <f t="shared" si="14"/>
        <v>300</v>
      </c>
      <c r="H36" s="118">
        <f t="shared" si="14"/>
        <v>300</v>
      </c>
      <c r="I36" s="118">
        <f t="shared" si="14"/>
        <v>300</v>
      </c>
      <c r="J36" s="118">
        <f t="shared" si="14"/>
        <v>300</v>
      </c>
      <c r="K36" s="118">
        <f t="shared" si="14"/>
        <v>300</v>
      </c>
      <c r="L36" s="118">
        <f t="shared" si="14"/>
        <v>300</v>
      </c>
      <c r="M36" s="118">
        <f t="shared" si="14"/>
        <v>300</v>
      </c>
      <c r="N36" s="118">
        <f t="shared" si="14"/>
        <v>300</v>
      </c>
      <c r="O36" s="118">
        <f t="shared" si="4"/>
        <v>3600</v>
      </c>
    </row>
    <row r="37" spans="1:15" ht="15.75" thickBot="1">
      <c r="A37" s="36">
        <v>51400</v>
      </c>
      <c r="B37" s="50" t="s">
        <v>123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85"/>
    </row>
    <row r="38" spans="1:15">
      <c r="A38" s="90">
        <v>3107</v>
      </c>
      <c r="B38" s="120" t="s">
        <v>124</v>
      </c>
      <c r="C38" s="99">
        <f>120000/12</f>
        <v>10000</v>
      </c>
      <c r="D38" s="99">
        <f t="shared" ref="D38:N38" si="15">120000/12</f>
        <v>10000</v>
      </c>
      <c r="E38" s="99">
        <f t="shared" si="15"/>
        <v>10000</v>
      </c>
      <c r="F38" s="99">
        <f t="shared" si="15"/>
        <v>10000</v>
      </c>
      <c r="G38" s="99">
        <f t="shared" si="15"/>
        <v>10000</v>
      </c>
      <c r="H38" s="99">
        <f t="shared" si="15"/>
        <v>10000</v>
      </c>
      <c r="I38" s="99">
        <f t="shared" si="15"/>
        <v>10000</v>
      </c>
      <c r="J38" s="99">
        <f t="shared" si="15"/>
        <v>10000</v>
      </c>
      <c r="K38" s="99">
        <f t="shared" si="15"/>
        <v>10000</v>
      </c>
      <c r="L38" s="99">
        <f t="shared" si="15"/>
        <v>10000</v>
      </c>
      <c r="M38" s="99">
        <f t="shared" si="15"/>
        <v>10000</v>
      </c>
      <c r="N38" s="99">
        <f t="shared" si="15"/>
        <v>10000</v>
      </c>
      <c r="O38" s="99">
        <f t="shared" ref="O38:O40" si="16">SUM(C38:N38)</f>
        <v>120000</v>
      </c>
    </row>
    <row r="39" spans="1:15">
      <c r="A39" s="90"/>
      <c r="B39" s="121" t="s">
        <v>125</v>
      </c>
      <c r="C39" s="122"/>
      <c r="D39" s="123"/>
      <c r="E39" s="123"/>
      <c r="F39" s="124"/>
      <c r="G39" s="99"/>
      <c r="H39" s="99"/>
      <c r="I39" s="99"/>
      <c r="J39" s="99"/>
      <c r="K39" s="99"/>
      <c r="L39" s="99"/>
      <c r="M39" s="99"/>
      <c r="N39" s="125"/>
      <c r="O39" s="125">
        <f t="shared" si="16"/>
        <v>0</v>
      </c>
    </row>
    <row r="40" spans="1:15" ht="15.75" thickBot="1">
      <c r="A40" s="90"/>
      <c r="B40" s="43" t="s">
        <v>126</v>
      </c>
      <c r="C40" s="126"/>
      <c r="D40" s="127"/>
      <c r="E40" s="127"/>
      <c r="F40" s="128"/>
      <c r="G40" s="97"/>
      <c r="H40" s="97"/>
      <c r="I40" s="97"/>
      <c r="J40" s="97"/>
      <c r="K40" s="97"/>
      <c r="L40" s="97"/>
      <c r="M40" s="97"/>
      <c r="N40" s="129"/>
      <c r="O40" s="129">
        <f t="shared" si="16"/>
        <v>0</v>
      </c>
    </row>
    <row r="41" spans="1:15" ht="15.75" thickBot="1">
      <c r="A41" s="36">
        <v>51450</v>
      </c>
      <c r="B41" s="50" t="s">
        <v>127</v>
      </c>
      <c r="C41" s="8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5"/>
    </row>
    <row r="42" spans="1:15" ht="15.75" thickBot="1">
      <c r="A42" s="90">
        <v>3113</v>
      </c>
      <c r="B42" s="130" t="s">
        <v>128</v>
      </c>
      <c r="C42" s="131">
        <f>50000/12</f>
        <v>4166.666666666667</v>
      </c>
      <c r="D42" s="131">
        <f t="shared" ref="D42:N42" si="17">50000/12</f>
        <v>4166.666666666667</v>
      </c>
      <c r="E42" s="131">
        <f t="shared" si="17"/>
        <v>4166.666666666667</v>
      </c>
      <c r="F42" s="131">
        <f t="shared" si="17"/>
        <v>4166.666666666667</v>
      </c>
      <c r="G42" s="131">
        <f t="shared" si="17"/>
        <v>4166.666666666667</v>
      </c>
      <c r="H42" s="131">
        <f t="shared" si="17"/>
        <v>4166.666666666667</v>
      </c>
      <c r="I42" s="131">
        <f t="shared" si="17"/>
        <v>4166.666666666667</v>
      </c>
      <c r="J42" s="131">
        <f t="shared" si="17"/>
        <v>4166.666666666667</v>
      </c>
      <c r="K42" s="131">
        <f t="shared" si="17"/>
        <v>4166.666666666667</v>
      </c>
      <c r="L42" s="131">
        <f t="shared" si="17"/>
        <v>4166.666666666667</v>
      </c>
      <c r="M42" s="131">
        <f t="shared" si="17"/>
        <v>4166.666666666667</v>
      </c>
      <c r="N42" s="131">
        <f t="shared" si="17"/>
        <v>4166.666666666667</v>
      </c>
      <c r="O42" s="131">
        <f>SUM(C42:N42)</f>
        <v>49999.999999999993</v>
      </c>
    </row>
    <row r="43" spans="1:15" ht="15.75" thickBot="1">
      <c r="A43" s="36">
        <v>52900</v>
      </c>
      <c r="B43" s="50" t="s">
        <v>129</v>
      </c>
      <c r="C43" s="83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5"/>
    </row>
    <row r="44" spans="1:15">
      <c r="A44" s="94">
        <v>4907</v>
      </c>
      <c r="B44" s="104" t="s">
        <v>130</v>
      </c>
      <c r="C44" s="134">
        <f>75000/12</f>
        <v>6250</v>
      </c>
      <c r="D44" s="134">
        <f t="shared" ref="D44:N44" si="18">75000/12</f>
        <v>6250</v>
      </c>
      <c r="E44" s="134">
        <f t="shared" si="18"/>
        <v>6250</v>
      </c>
      <c r="F44" s="134">
        <f t="shared" si="18"/>
        <v>6250</v>
      </c>
      <c r="G44" s="134">
        <f t="shared" si="18"/>
        <v>6250</v>
      </c>
      <c r="H44" s="134">
        <f t="shared" si="18"/>
        <v>6250</v>
      </c>
      <c r="I44" s="134">
        <f t="shared" si="18"/>
        <v>6250</v>
      </c>
      <c r="J44" s="134">
        <f t="shared" si="18"/>
        <v>6250</v>
      </c>
      <c r="K44" s="134">
        <f t="shared" si="18"/>
        <v>6250</v>
      </c>
      <c r="L44" s="134">
        <f t="shared" si="18"/>
        <v>6250</v>
      </c>
      <c r="M44" s="134">
        <f t="shared" si="18"/>
        <v>6250</v>
      </c>
      <c r="N44" s="134">
        <f t="shared" si="18"/>
        <v>6250</v>
      </c>
      <c r="O44" s="134">
        <f t="shared" ref="O44:O45" si="19">SUM(C44:N44)</f>
        <v>75000</v>
      </c>
    </row>
    <row r="45" spans="1:15" ht="15.75" thickBot="1">
      <c r="A45" s="94">
        <v>4914</v>
      </c>
      <c r="B45" s="104" t="s">
        <v>131</v>
      </c>
      <c r="C45" s="136">
        <f>200000/12</f>
        <v>16666.666666666668</v>
      </c>
      <c r="D45" s="136">
        <f t="shared" ref="D45:N45" si="20">200000/12</f>
        <v>16666.666666666668</v>
      </c>
      <c r="E45" s="136">
        <f t="shared" si="20"/>
        <v>16666.666666666668</v>
      </c>
      <c r="F45" s="136">
        <f t="shared" si="20"/>
        <v>16666.666666666668</v>
      </c>
      <c r="G45" s="136">
        <f t="shared" si="20"/>
        <v>16666.666666666668</v>
      </c>
      <c r="H45" s="136">
        <f t="shared" si="20"/>
        <v>16666.666666666668</v>
      </c>
      <c r="I45" s="136">
        <f t="shared" si="20"/>
        <v>16666.666666666668</v>
      </c>
      <c r="J45" s="136">
        <f t="shared" si="20"/>
        <v>16666.666666666668</v>
      </c>
      <c r="K45" s="136">
        <f t="shared" si="20"/>
        <v>16666.666666666668</v>
      </c>
      <c r="L45" s="136">
        <f t="shared" si="20"/>
        <v>16666.666666666668</v>
      </c>
      <c r="M45" s="136">
        <f t="shared" si="20"/>
        <v>16666.666666666668</v>
      </c>
      <c r="N45" s="136">
        <f t="shared" si="20"/>
        <v>16666.666666666668</v>
      </c>
      <c r="O45" s="136">
        <f t="shared" si="19"/>
        <v>199999.99999999997</v>
      </c>
    </row>
    <row r="46" spans="1:15" ht="15.75" thickBot="1">
      <c r="A46" s="36">
        <v>53100</v>
      </c>
      <c r="B46" s="50" t="s">
        <v>132</v>
      </c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  <c r="O46" s="85"/>
    </row>
    <row r="47" spans="1:15">
      <c r="A47" s="90">
        <v>4307</v>
      </c>
      <c r="B47" s="120" t="s">
        <v>133</v>
      </c>
      <c r="C47" s="137">
        <f>154740/12</f>
        <v>12895</v>
      </c>
      <c r="D47" s="137">
        <f t="shared" ref="D47:N47" si="21">154740/12</f>
        <v>12895</v>
      </c>
      <c r="E47" s="137">
        <f t="shared" si="21"/>
        <v>12895</v>
      </c>
      <c r="F47" s="137">
        <f t="shared" si="21"/>
        <v>12895</v>
      </c>
      <c r="G47" s="137">
        <f t="shared" si="21"/>
        <v>12895</v>
      </c>
      <c r="H47" s="137">
        <f t="shared" si="21"/>
        <v>12895</v>
      </c>
      <c r="I47" s="137">
        <f t="shared" si="21"/>
        <v>12895</v>
      </c>
      <c r="J47" s="137">
        <f t="shared" si="21"/>
        <v>12895</v>
      </c>
      <c r="K47" s="137">
        <f t="shared" si="21"/>
        <v>12895</v>
      </c>
      <c r="L47" s="137">
        <f t="shared" si="21"/>
        <v>12895</v>
      </c>
      <c r="M47" s="137">
        <f t="shared" si="21"/>
        <v>12895</v>
      </c>
      <c r="N47" s="137">
        <f t="shared" si="21"/>
        <v>12895</v>
      </c>
      <c r="O47" s="137">
        <f t="shared" ref="O47:O50" si="22">SUM(C47:N47)</f>
        <v>154740</v>
      </c>
    </row>
    <row r="48" spans="1:15">
      <c r="A48" s="90">
        <v>4308</v>
      </c>
      <c r="B48" s="104" t="s">
        <v>134</v>
      </c>
      <c r="C48" s="110">
        <f>19000/12</f>
        <v>1583.3333333333333</v>
      </c>
      <c r="D48" s="110">
        <f t="shared" ref="D48:N48" si="23">19000/12</f>
        <v>1583.3333333333333</v>
      </c>
      <c r="E48" s="110">
        <f t="shared" si="23"/>
        <v>1583.3333333333333</v>
      </c>
      <c r="F48" s="110">
        <f t="shared" si="23"/>
        <v>1583.3333333333333</v>
      </c>
      <c r="G48" s="110">
        <f t="shared" si="23"/>
        <v>1583.3333333333333</v>
      </c>
      <c r="H48" s="110">
        <f t="shared" si="23"/>
        <v>1583.3333333333333</v>
      </c>
      <c r="I48" s="110">
        <f t="shared" si="23"/>
        <v>1583.3333333333333</v>
      </c>
      <c r="J48" s="110">
        <f t="shared" si="23"/>
        <v>1583.3333333333333</v>
      </c>
      <c r="K48" s="110">
        <f t="shared" si="23"/>
        <v>1583.3333333333333</v>
      </c>
      <c r="L48" s="110">
        <f t="shared" si="23"/>
        <v>1583.3333333333333</v>
      </c>
      <c r="M48" s="110">
        <f t="shared" si="23"/>
        <v>1583.3333333333333</v>
      </c>
      <c r="N48" s="110">
        <f t="shared" si="23"/>
        <v>1583.3333333333333</v>
      </c>
      <c r="O48" s="110">
        <f t="shared" si="22"/>
        <v>19000</v>
      </c>
    </row>
    <row r="49" spans="1:15">
      <c r="A49" s="90">
        <v>4309</v>
      </c>
      <c r="B49" s="104" t="s">
        <v>135</v>
      </c>
      <c r="C49" s="110">
        <f>5000/12</f>
        <v>416.66666666666669</v>
      </c>
      <c r="D49" s="110">
        <f t="shared" ref="D49:N49" si="24">5000/12</f>
        <v>416.66666666666669</v>
      </c>
      <c r="E49" s="110">
        <f t="shared" si="24"/>
        <v>416.66666666666669</v>
      </c>
      <c r="F49" s="110">
        <f t="shared" si="24"/>
        <v>416.66666666666669</v>
      </c>
      <c r="G49" s="110">
        <f t="shared" si="24"/>
        <v>416.66666666666669</v>
      </c>
      <c r="H49" s="110">
        <f t="shared" si="24"/>
        <v>416.66666666666669</v>
      </c>
      <c r="I49" s="110">
        <f t="shared" si="24"/>
        <v>416.66666666666669</v>
      </c>
      <c r="J49" s="110">
        <f t="shared" si="24"/>
        <v>416.66666666666669</v>
      </c>
      <c r="K49" s="110">
        <f t="shared" si="24"/>
        <v>416.66666666666669</v>
      </c>
      <c r="L49" s="110">
        <f t="shared" si="24"/>
        <v>416.66666666666669</v>
      </c>
      <c r="M49" s="110">
        <f t="shared" si="24"/>
        <v>416.66666666666669</v>
      </c>
      <c r="N49" s="110">
        <f t="shared" si="24"/>
        <v>416.66666666666669</v>
      </c>
      <c r="O49" s="110">
        <f t="shared" si="22"/>
        <v>5000</v>
      </c>
    </row>
    <row r="50" spans="1:15" ht="15.75" thickBot="1">
      <c r="A50" s="90">
        <v>4310</v>
      </c>
      <c r="B50" s="138" t="s">
        <v>136</v>
      </c>
      <c r="C50" s="139">
        <f>95000/12</f>
        <v>7916.666666666667</v>
      </c>
      <c r="D50" s="139">
        <f t="shared" ref="D50:N50" si="25">95000/12</f>
        <v>7916.666666666667</v>
      </c>
      <c r="E50" s="139">
        <f t="shared" si="25"/>
        <v>7916.666666666667</v>
      </c>
      <c r="F50" s="139">
        <f t="shared" si="25"/>
        <v>7916.666666666667</v>
      </c>
      <c r="G50" s="139">
        <f t="shared" si="25"/>
        <v>7916.666666666667</v>
      </c>
      <c r="H50" s="139">
        <f t="shared" si="25"/>
        <v>7916.666666666667</v>
      </c>
      <c r="I50" s="139">
        <f t="shared" si="25"/>
        <v>7916.666666666667</v>
      </c>
      <c r="J50" s="139">
        <f t="shared" si="25"/>
        <v>7916.666666666667</v>
      </c>
      <c r="K50" s="139">
        <f t="shared" si="25"/>
        <v>7916.666666666667</v>
      </c>
      <c r="L50" s="139">
        <f t="shared" si="25"/>
        <v>7916.666666666667</v>
      </c>
      <c r="M50" s="139">
        <f t="shared" si="25"/>
        <v>7916.666666666667</v>
      </c>
      <c r="N50" s="139">
        <f t="shared" si="25"/>
        <v>7916.666666666667</v>
      </c>
      <c r="O50" s="139">
        <f t="shared" si="22"/>
        <v>95000.000000000015</v>
      </c>
    </row>
    <row r="51" spans="1:15" ht="15.75" thickBot="1">
      <c r="A51" s="36">
        <v>53200</v>
      </c>
      <c r="B51" s="50" t="s">
        <v>137</v>
      </c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5"/>
      <c r="O51" s="85"/>
    </row>
    <row r="52" spans="1:15" ht="15.75" thickBot="1">
      <c r="A52" s="90">
        <v>4301</v>
      </c>
      <c r="B52" s="140" t="s">
        <v>138</v>
      </c>
      <c r="C52" s="141">
        <f>5700/12</f>
        <v>475</v>
      </c>
      <c r="D52" s="141">
        <f t="shared" ref="D52:N52" si="26">5700/12</f>
        <v>475</v>
      </c>
      <c r="E52" s="141">
        <f t="shared" si="26"/>
        <v>475</v>
      </c>
      <c r="F52" s="141">
        <f t="shared" si="26"/>
        <v>475</v>
      </c>
      <c r="G52" s="141">
        <f t="shared" si="26"/>
        <v>475</v>
      </c>
      <c r="H52" s="141">
        <f t="shared" si="26"/>
        <v>475</v>
      </c>
      <c r="I52" s="141">
        <f t="shared" si="26"/>
        <v>475</v>
      </c>
      <c r="J52" s="141">
        <f t="shared" si="26"/>
        <v>475</v>
      </c>
      <c r="K52" s="141">
        <f t="shared" si="26"/>
        <v>475</v>
      </c>
      <c r="L52" s="141">
        <f t="shared" si="26"/>
        <v>475</v>
      </c>
      <c r="M52" s="141">
        <f t="shared" si="26"/>
        <v>475</v>
      </c>
      <c r="N52" s="141">
        <f t="shared" si="26"/>
        <v>475</v>
      </c>
      <c r="O52" s="141">
        <f>SUM(C52:N52)</f>
        <v>5700</v>
      </c>
    </row>
    <row r="53" spans="1:15" ht="15.75" thickBot="1">
      <c r="A53" s="36">
        <v>53400</v>
      </c>
      <c r="B53" s="50" t="s">
        <v>139</v>
      </c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5"/>
      <c r="O53" s="85"/>
    </row>
    <row r="54" spans="1:15">
      <c r="A54" s="90">
        <v>4303</v>
      </c>
      <c r="B54" s="142" t="s">
        <v>140</v>
      </c>
      <c r="C54" s="95">
        <f>2000/12</f>
        <v>166.66666666666666</v>
      </c>
      <c r="D54" s="95">
        <f t="shared" ref="D54:N54" si="27">2000/12</f>
        <v>166.66666666666666</v>
      </c>
      <c r="E54" s="95">
        <f t="shared" si="27"/>
        <v>166.66666666666666</v>
      </c>
      <c r="F54" s="95">
        <f t="shared" si="27"/>
        <v>166.66666666666666</v>
      </c>
      <c r="G54" s="95">
        <f t="shared" si="27"/>
        <v>166.66666666666666</v>
      </c>
      <c r="H54" s="95">
        <f t="shared" si="27"/>
        <v>166.66666666666666</v>
      </c>
      <c r="I54" s="95">
        <f t="shared" si="27"/>
        <v>166.66666666666666</v>
      </c>
      <c r="J54" s="95">
        <f t="shared" si="27"/>
        <v>166.66666666666666</v>
      </c>
      <c r="K54" s="95">
        <f t="shared" si="27"/>
        <v>166.66666666666666</v>
      </c>
      <c r="L54" s="95">
        <f t="shared" si="27"/>
        <v>166.66666666666666</v>
      </c>
      <c r="M54" s="95">
        <f t="shared" si="27"/>
        <v>166.66666666666666</v>
      </c>
      <c r="N54" s="95">
        <f t="shared" si="27"/>
        <v>166.66666666666666</v>
      </c>
      <c r="O54" s="95">
        <f t="shared" ref="O54:O55" si="28">SUM(C54:N54)</f>
        <v>2000.0000000000002</v>
      </c>
    </row>
    <row r="55" spans="1:15" ht="15.75" thickBot="1">
      <c r="A55" s="90"/>
      <c r="B55" s="143" t="s">
        <v>141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>
        <f t="shared" si="28"/>
        <v>0</v>
      </c>
    </row>
    <row r="56" spans="1:15" ht="15.75" thickBot="1">
      <c r="A56" s="36">
        <v>53600</v>
      </c>
      <c r="B56" s="144" t="s">
        <v>142</v>
      </c>
      <c r="C56" s="83"/>
      <c r="D56" s="84"/>
      <c r="E56" s="84"/>
      <c r="F56" s="84"/>
      <c r="G56" s="145"/>
      <c r="H56" s="145"/>
      <c r="I56" s="84"/>
      <c r="J56" s="84"/>
      <c r="K56" s="84"/>
      <c r="L56" s="84"/>
      <c r="M56" s="84"/>
      <c r="N56" s="85"/>
      <c r="O56" s="85"/>
    </row>
    <row r="57" spans="1:15">
      <c r="A57" s="90">
        <v>4308</v>
      </c>
      <c r="B57" s="146" t="s">
        <v>143</v>
      </c>
      <c r="C57" s="147">
        <f>12000/12</f>
        <v>1000</v>
      </c>
      <c r="D57" s="147">
        <f t="shared" ref="D57:N57" si="29">12000/12</f>
        <v>1000</v>
      </c>
      <c r="E57" s="147">
        <f t="shared" si="29"/>
        <v>1000</v>
      </c>
      <c r="F57" s="147">
        <f t="shared" si="29"/>
        <v>1000</v>
      </c>
      <c r="G57" s="147">
        <f t="shared" si="29"/>
        <v>1000</v>
      </c>
      <c r="H57" s="147">
        <f t="shared" si="29"/>
        <v>1000</v>
      </c>
      <c r="I57" s="147">
        <f t="shared" si="29"/>
        <v>1000</v>
      </c>
      <c r="J57" s="147">
        <f t="shared" si="29"/>
        <v>1000</v>
      </c>
      <c r="K57" s="147">
        <f t="shared" si="29"/>
        <v>1000</v>
      </c>
      <c r="L57" s="147">
        <f t="shared" si="29"/>
        <v>1000</v>
      </c>
      <c r="M57" s="147">
        <f t="shared" si="29"/>
        <v>1000</v>
      </c>
      <c r="N57" s="147">
        <f t="shared" si="29"/>
        <v>1000</v>
      </c>
      <c r="O57" s="147">
        <f t="shared" ref="O57:O58" si="30">SUM(C57:N57)</f>
        <v>12000</v>
      </c>
    </row>
    <row r="58" spans="1:15" ht="15.75" thickBot="1">
      <c r="A58" s="94">
        <v>4315</v>
      </c>
      <c r="B58" s="149" t="s">
        <v>144</v>
      </c>
      <c r="C58" s="99">
        <f>30000/12</f>
        <v>2500</v>
      </c>
      <c r="D58" s="99">
        <f t="shared" ref="D58:N58" si="31">30000/12</f>
        <v>2500</v>
      </c>
      <c r="E58" s="99">
        <f t="shared" si="31"/>
        <v>2500</v>
      </c>
      <c r="F58" s="99">
        <f t="shared" si="31"/>
        <v>2500</v>
      </c>
      <c r="G58" s="99">
        <f t="shared" si="31"/>
        <v>2500</v>
      </c>
      <c r="H58" s="99">
        <f t="shared" si="31"/>
        <v>2500</v>
      </c>
      <c r="I58" s="99">
        <f t="shared" si="31"/>
        <v>2500</v>
      </c>
      <c r="J58" s="99">
        <f t="shared" si="31"/>
        <v>2500</v>
      </c>
      <c r="K58" s="99">
        <f t="shared" si="31"/>
        <v>2500</v>
      </c>
      <c r="L58" s="99">
        <f t="shared" si="31"/>
        <v>2500</v>
      </c>
      <c r="M58" s="99">
        <f t="shared" si="31"/>
        <v>2500</v>
      </c>
      <c r="N58" s="99">
        <f t="shared" si="31"/>
        <v>2500</v>
      </c>
      <c r="O58" s="99">
        <f t="shared" si="30"/>
        <v>30000</v>
      </c>
    </row>
    <row r="59" spans="1:15" ht="15.75" thickBot="1">
      <c r="A59" s="36">
        <v>53800</v>
      </c>
      <c r="B59" s="50" t="s">
        <v>145</v>
      </c>
      <c r="C59" s="83"/>
      <c r="D59" s="84"/>
      <c r="E59" s="84"/>
      <c r="F59" s="84"/>
      <c r="G59" s="145"/>
      <c r="H59" s="145"/>
      <c r="I59" s="84"/>
      <c r="J59" s="84"/>
      <c r="K59" s="84"/>
      <c r="L59" s="84"/>
      <c r="M59" s="84"/>
      <c r="N59" s="85"/>
      <c r="O59" s="85"/>
    </row>
    <row r="60" spans="1:15" ht="15.75" thickBot="1">
      <c r="A60" s="90">
        <v>4605</v>
      </c>
      <c r="B60" s="120" t="s">
        <v>146</v>
      </c>
      <c r="C60" s="95">
        <f>35000/12</f>
        <v>2916.6666666666665</v>
      </c>
      <c r="D60" s="95">
        <f t="shared" ref="D60:N60" si="32">35000/12</f>
        <v>2916.6666666666665</v>
      </c>
      <c r="E60" s="95">
        <f t="shared" si="32"/>
        <v>2916.6666666666665</v>
      </c>
      <c r="F60" s="95">
        <f t="shared" si="32"/>
        <v>2916.6666666666665</v>
      </c>
      <c r="G60" s="95">
        <f t="shared" si="32"/>
        <v>2916.6666666666665</v>
      </c>
      <c r="H60" s="95">
        <f t="shared" si="32"/>
        <v>2916.6666666666665</v>
      </c>
      <c r="I60" s="95">
        <f t="shared" si="32"/>
        <v>2916.6666666666665</v>
      </c>
      <c r="J60" s="95">
        <f t="shared" si="32"/>
        <v>2916.6666666666665</v>
      </c>
      <c r="K60" s="95">
        <f t="shared" si="32"/>
        <v>2916.6666666666665</v>
      </c>
      <c r="L60" s="95">
        <f t="shared" si="32"/>
        <v>2916.6666666666665</v>
      </c>
      <c r="M60" s="95">
        <f t="shared" si="32"/>
        <v>2916.6666666666665</v>
      </c>
      <c r="N60" s="95">
        <f t="shared" si="32"/>
        <v>2916.6666666666665</v>
      </c>
      <c r="O60" s="54">
        <f t="shared" ref="O60:O63" si="33">SUM(C60:N60)</f>
        <v>35000.000000000007</v>
      </c>
    </row>
    <row r="61" spans="1:15" ht="15.75" thickBot="1">
      <c r="A61">
        <v>4606</v>
      </c>
      <c r="B61" s="121" t="s">
        <v>147</v>
      </c>
      <c r="C61" s="95">
        <f>3000/12</f>
        <v>250</v>
      </c>
      <c r="D61" s="95">
        <f t="shared" ref="D61:N61" si="34">3000/12</f>
        <v>250</v>
      </c>
      <c r="E61" s="95">
        <f t="shared" si="34"/>
        <v>250</v>
      </c>
      <c r="F61" s="95">
        <f t="shared" si="34"/>
        <v>250</v>
      </c>
      <c r="G61" s="95">
        <f t="shared" si="34"/>
        <v>250</v>
      </c>
      <c r="H61" s="95">
        <f t="shared" si="34"/>
        <v>250</v>
      </c>
      <c r="I61" s="95">
        <f t="shared" si="34"/>
        <v>250</v>
      </c>
      <c r="J61" s="95">
        <f t="shared" si="34"/>
        <v>250</v>
      </c>
      <c r="K61" s="95">
        <f t="shared" si="34"/>
        <v>250</v>
      </c>
      <c r="L61" s="95">
        <f t="shared" si="34"/>
        <v>250</v>
      </c>
      <c r="M61" s="95">
        <f t="shared" si="34"/>
        <v>250</v>
      </c>
      <c r="N61" s="95">
        <f t="shared" si="34"/>
        <v>250</v>
      </c>
      <c r="O61" s="54">
        <f t="shared" si="33"/>
        <v>3000</v>
      </c>
    </row>
    <row r="62" spans="1:15" ht="15.75" thickBot="1">
      <c r="A62" s="90">
        <v>4620</v>
      </c>
      <c r="B62" s="98" t="s">
        <v>148</v>
      </c>
      <c r="C62" s="93">
        <f>550/12</f>
        <v>45.833333333333336</v>
      </c>
      <c r="D62" s="93">
        <f t="shared" ref="D62:N62" si="35">550/12</f>
        <v>45.833333333333336</v>
      </c>
      <c r="E62" s="93">
        <f t="shared" si="35"/>
        <v>45.833333333333336</v>
      </c>
      <c r="F62" s="93">
        <f t="shared" si="35"/>
        <v>45.833333333333336</v>
      </c>
      <c r="G62" s="93">
        <f t="shared" si="35"/>
        <v>45.833333333333336</v>
      </c>
      <c r="H62" s="93">
        <f t="shared" si="35"/>
        <v>45.833333333333336</v>
      </c>
      <c r="I62" s="93">
        <f t="shared" si="35"/>
        <v>45.833333333333336</v>
      </c>
      <c r="J62" s="93">
        <f t="shared" si="35"/>
        <v>45.833333333333336</v>
      </c>
      <c r="K62" s="93">
        <f t="shared" si="35"/>
        <v>45.833333333333336</v>
      </c>
      <c r="L62" s="93">
        <f t="shared" si="35"/>
        <v>45.833333333333336</v>
      </c>
      <c r="M62" s="93">
        <f t="shared" si="35"/>
        <v>45.833333333333336</v>
      </c>
      <c r="N62" s="93">
        <f t="shared" si="35"/>
        <v>45.833333333333336</v>
      </c>
      <c r="O62" s="54">
        <f t="shared" si="33"/>
        <v>549.99999999999989</v>
      </c>
    </row>
    <row r="63" spans="1:15" ht="15.75" thickBot="1">
      <c r="A63" s="90">
        <v>4621</v>
      </c>
      <c r="B63" s="152" t="s">
        <v>149</v>
      </c>
      <c r="C63" s="153">
        <f>3900/12</f>
        <v>325</v>
      </c>
      <c r="D63" s="153">
        <f t="shared" ref="D63:N63" si="36">3900/12</f>
        <v>325</v>
      </c>
      <c r="E63" s="153">
        <f t="shared" si="36"/>
        <v>325</v>
      </c>
      <c r="F63" s="153">
        <f t="shared" si="36"/>
        <v>325</v>
      </c>
      <c r="G63" s="153">
        <f t="shared" si="36"/>
        <v>325</v>
      </c>
      <c r="H63" s="153">
        <f t="shared" si="36"/>
        <v>325</v>
      </c>
      <c r="I63" s="153">
        <f t="shared" si="36"/>
        <v>325</v>
      </c>
      <c r="J63" s="153">
        <f t="shared" si="36"/>
        <v>325</v>
      </c>
      <c r="K63" s="153">
        <f t="shared" si="36"/>
        <v>325</v>
      </c>
      <c r="L63" s="153">
        <f t="shared" si="36"/>
        <v>325</v>
      </c>
      <c r="M63" s="153">
        <f t="shared" si="36"/>
        <v>325</v>
      </c>
      <c r="N63" s="153">
        <f t="shared" si="36"/>
        <v>325</v>
      </c>
      <c r="O63" s="54">
        <f t="shared" si="33"/>
        <v>3900</v>
      </c>
    </row>
    <row r="64" spans="1:15" ht="15.75" thickBot="1">
      <c r="A64" s="36">
        <v>53900</v>
      </c>
      <c r="B64" s="50" t="s">
        <v>150</v>
      </c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5"/>
      <c r="O64" s="85"/>
    </row>
    <row r="65" spans="1:15" ht="15.75" thickBot="1">
      <c r="A65" s="90">
        <v>4503</v>
      </c>
      <c r="B65" s="98" t="s">
        <v>151</v>
      </c>
      <c r="C65" s="155">
        <v>102850</v>
      </c>
      <c r="D65" s="110"/>
      <c r="E65" s="110"/>
      <c r="F65" s="111"/>
      <c r="G65" s="110"/>
      <c r="H65" s="156"/>
      <c r="I65" s="157"/>
      <c r="J65" s="110"/>
      <c r="K65" s="111"/>
      <c r="L65" s="110"/>
      <c r="M65" s="111"/>
      <c r="N65" s="110"/>
      <c r="O65" s="54">
        <f t="shared" ref="O65:O80" si="37">SUM(C65:N65)</f>
        <v>102850</v>
      </c>
    </row>
    <row r="66" spans="1:15" ht="15.75" thickBot="1">
      <c r="A66" s="90">
        <v>4504</v>
      </c>
      <c r="B66" s="98" t="s">
        <v>152</v>
      </c>
      <c r="C66" s="155">
        <v>4434.16</v>
      </c>
      <c r="D66" s="110"/>
      <c r="E66" s="110">
        <v>11325.84</v>
      </c>
      <c r="F66" s="111"/>
      <c r="G66" s="110"/>
      <c r="H66" s="156"/>
      <c r="I66" s="157"/>
      <c r="J66" s="110"/>
      <c r="K66" s="111"/>
      <c r="L66" s="110"/>
      <c r="M66" s="111"/>
      <c r="N66" s="110"/>
      <c r="O66" s="54">
        <f t="shared" si="37"/>
        <v>15760</v>
      </c>
    </row>
    <row r="67" spans="1:15" ht="15.75" thickBot="1">
      <c r="A67" s="90">
        <v>4603</v>
      </c>
      <c r="B67" s="104" t="s">
        <v>153</v>
      </c>
      <c r="C67" s="110">
        <f>10000/12</f>
        <v>833.33333333333337</v>
      </c>
      <c r="D67" s="110">
        <f t="shared" ref="D67:N67" si="38">10000/12</f>
        <v>833.33333333333337</v>
      </c>
      <c r="E67" s="110">
        <f t="shared" si="38"/>
        <v>833.33333333333337</v>
      </c>
      <c r="F67" s="110">
        <f t="shared" si="38"/>
        <v>833.33333333333337</v>
      </c>
      <c r="G67" s="110">
        <f t="shared" si="38"/>
        <v>833.33333333333337</v>
      </c>
      <c r="H67" s="110">
        <f t="shared" si="38"/>
        <v>833.33333333333337</v>
      </c>
      <c r="I67" s="110">
        <f t="shared" si="38"/>
        <v>833.33333333333337</v>
      </c>
      <c r="J67" s="110">
        <f t="shared" si="38"/>
        <v>833.33333333333337</v>
      </c>
      <c r="K67" s="110">
        <f t="shared" si="38"/>
        <v>833.33333333333337</v>
      </c>
      <c r="L67" s="110">
        <f t="shared" si="38"/>
        <v>833.33333333333337</v>
      </c>
      <c r="M67" s="110">
        <f t="shared" si="38"/>
        <v>833.33333333333337</v>
      </c>
      <c r="N67" s="110">
        <f t="shared" si="38"/>
        <v>833.33333333333337</v>
      </c>
      <c r="O67" s="54">
        <f t="shared" si="37"/>
        <v>10000</v>
      </c>
    </row>
    <row r="68" spans="1:15" ht="15.75" thickBot="1">
      <c r="A68" s="90">
        <v>4604</v>
      </c>
      <c r="B68" s="98" t="s">
        <v>154</v>
      </c>
      <c r="C68" s="110">
        <f>322688/12</f>
        <v>26890.666666666668</v>
      </c>
      <c r="D68" s="110">
        <f t="shared" ref="D68:N68" si="39">322688/12</f>
        <v>26890.666666666668</v>
      </c>
      <c r="E68" s="110">
        <f t="shared" si="39"/>
        <v>26890.666666666668</v>
      </c>
      <c r="F68" s="110">
        <f t="shared" si="39"/>
        <v>26890.666666666668</v>
      </c>
      <c r="G68" s="110">
        <f t="shared" si="39"/>
        <v>26890.666666666668</v>
      </c>
      <c r="H68" s="110">
        <f t="shared" si="39"/>
        <v>26890.666666666668</v>
      </c>
      <c r="I68" s="110">
        <f t="shared" si="39"/>
        <v>26890.666666666668</v>
      </c>
      <c r="J68" s="110">
        <f t="shared" si="39"/>
        <v>26890.666666666668</v>
      </c>
      <c r="K68" s="110">
        <f t="shared" si="39"/>
        <v>26890.666666666668</v>
      </c>
      <c r="L68" s="110">
        <f t="shared" si="39"/>
        <v>26890.666666666668</v>
      </c>
      <c r="M68" s="110">
        <f t="shared" si="39"/>
        <v>26890.666666666668</v>
      </c>
      <c r="N68" s="110">
        <f t="shared" si="39"/>
        <v>26890.666666666668</v>
      </c>
      <c r="O68" s="54">
        <f t="shared" si="37"/>
        <v>322688</v>
      </c>
    </row>
    <row r="69" spans="1:15" ht="15.75" thickBot="1">
      <c r="A69" s="90">
        <v>4613</v>
      </c>
      <c r="B69" s="104" t="s">
        <v>155</v>
      </c>
      <c r="C69" s="110">
        <f>32550/12</f>
        <v>2712.5</v>
      </c>
      <c r="D69" s="110">
        <f t="shared" ref="D69:N69" si="40">32550/12</f>
        <v>2712.5</v>
      </c>
      <c r="E69" s="110">
        <f t="shared" si="40"/>
        <v>2712.5</v>
      </c>
      <c r="F69" s="110">
        <f t="shared" si="40"/>
        <v>2712.5</v>
      </c>
      <c r="G69" s="110">
        <f t="shared" si="40"/>
        <v>2712.5</v>
      </c>
      <c r="H69" s="110">
        <f t="shared" si="40"/>
        <v>2712.5</v>
      </c>
      <c r="I69" s="110">
        <f t="shared" si="40"/>
        <v>2712.5</v>
      </c>
      <c r="J69" s="110">
        <f t="shared" si="40"/>
        <v>2712.5</v>
      </c>
      <c r="K69" s="110">
        <f t="shared" si="40"/>
        <v>2712.5</v>
      </c>
      <c r="L69" s="110">
        <f t="shared" si="40"/>
        <v>2712.5</v>
      </c>
      <c r="M69" s="110">
        <f t="shared" si="40"/>
        <v>2712.5</v>
      </c>
      <c r="N69" s="110">
        <f t="shared" si="40"/>
        <v>2712.5</v>
      </c>
      <c r="O69" s="54">
        <f t="shared" si="37"/>
        <v>32550</v>
      </c>
    </row>
    <row r="70" spans="1:15" ht="15.75" thickBot="1">
      <c r="A70" s="90">
        <v>4618</v>
      </c>
      <c r="B70" s="158" t="s">
        <v>156</v>
      </c>
      <c r="C70" s="110">
        <f>26000/12</f>
        <v>2166.6666666666665</v>
      </c>
      <c r="D70" s="110">
        <f t="shared" ref="D70:N70" si="41">26000/12</f>
        <v>2166.6666666666665</v>
      </c>
      <c r="E70" s="110">
        <f t="shared" si="41"/>
        <v>2166.6666666666665</v>
      </c>
      <c r="F70" s="110">
        <f t="shared" si="41"/>
        <v>2166.6666666666665</v>
      </c>
      <c r="G70" s="110">
        <f t="shared" si="41"/>
        <v>2166.6666666666665</v>
      </c>
      <c r="H70" s="110">
        <f t="shared" si="41"/>
        <v>2166.6666666666665</v>
      </c>
      <c r="I70" s="110">
        <f t="shared" si="41"/>
        <v>2166.6666666666665</v>
      </c>
      <c r="J70" s="110">
        <f t="shared" si="41"/>
        <v>2166.6666666666665</v>
      </c>
      <c r="K70" s="110">
        <f t="shared" si="41"/>
        <v>2166.6666666666665</v>
      </c>
      <c r="L70" s="110">
        <f t="shared" si="41"/>
        <v>2166.6666666666665</v>
      </c>
      <c r="M70" s="110">
        <f t="shared" si="41"/>
        <v>2166.6666666666665</v>
      </c>
      <c r="N70" s="110">
        <f t="shared" si="41"/>
        <v>2166.6666666666665</v>
      </c>
      <c r="O70" s="54">
        <f t="shared" si="37"/>
        <v>26000.000000000004</v>
      </c>
    </row>
    <row r="71" spans="1:15" ht="15.75" thickBot="1">
      <c r="A71" s="90">
        <v>4623</v>
      </c>
      <c r="B71" s="98" t="s">
        <v>157</v>
      </c>
      <c r="C71" s="159">
        <f>26495/12</f>
        <v>2207.9166666666665</v>
      </c>
      <c r="D71" s="159">
        <f t="shared" ref="D71:N71" si="42">26495/12</f>
        <v>2207.9166666666665</v>
      </c>
      <c r="E71" s="159">
        <f t="shared" si="42"/>
        <v>2207.9166666666665</v>
      </c>
      <c r="F71" s="159">
        <f t="shared" si="42"/>
        <v>2207.9166666666665</v>
      </c>
      <c r="G71" s="159">
        <f t="shared" si="42"/>
        <v>2207.9166666666665</v>
      </c>
      <c r="H71" s="159">
        <f t="shared" si="42"/>
        <v>2207.9166666666665</v>
      </c>
      <c r="I71" s="159">
        <f t="shared" si="42"/>
        <v>2207.9166666666665</v>
      </c>
      <c r="J71" s="159">
        <f t="shared" si="42"/>
        <v>2207.9166666666665</v>
      </c>
      <c r="K71" s="159">
        <f t="shared" si="42"/>
        <v>2207.9166666666665</v>
      </c>
      <c r="L71" s="159">
        <f t="shared" si="42"/>
        <v>2207.9166666666665</v>
      </c>
      <c r="M71" s="159">
        <f t="shared" si="42"/>
        <v>2207.9166666666665</v>
      </c>
      <c r="N71" s="159">
        <f t="shared" si="42"/>
        <v>2207.9166666666665</v>
      </c>
      <c r="O71" s="54">
        <f t="shared" si="37"/>
        <v>26495.000000000004</v>
      </c>
    </row>
    <row r="72" spans="1:15" ht="15.75" thickBot="1">
      <c r="A72" s="90">
        <v>4626</v>
      </c>
      <c r="B72" s="98" t="s">
        <v>158</v>
      </c>
      <c r="C72" s="110">
        <f>48040/12</f>
        <v>4003.3333333333335</v>
      </c>
      <c r="D72" s="110">
        <f t="shared" ref="D72:N72" si="43">48040/12</f>
        <v>4003.3333333333335</v>
      </c>
      <c r="E72" s="110">
        <f t="shared" si="43"/>
        <v>4003.3333333333335</v>
      </c>
      <c r="F72" s="110">
        <f t="shared" si="43"/>
        <v>4003.3333333333335</v>
      </c>
      <c r="G72" s="110">
        <f t="shared" si="43"/>
        <v>4003.3333333333335</v>
      </c>
      <c r="H72" s="110">
        <f t="shared" si="43"/>
        <v>4003.3333333333335</v>
      </c>
      <c r="I72" s="110">
        <f t="shared" si="43"/>
        <v>4003.3333333333335</v>
      </c>
      <c r="J72" s="110">
        <f t="shared" si="43"/>
        <v>4003.3333333333335</v>
      </c>
      <c r="K72" s="110">
        <f t="shared" si="43"/>
        <v>4003.3333333333335</v>
      </c>
      <c r="L72" s="110">
        <f t="shared" si="43"/>
        <v>4003.3333333333335</v>
      </c>
      <c r="M72" s="110">
        <f t="shared" si="43"/>
        <v>4003.3333333333335</v>
      </c>
      <c r="N72" s="110">
        <f t="shared" si="43"/>
        <v>4003.3333333333335</v>
      </c>
      <c r="O72" s="54">
        <f t="shared" si="37"/>
        <v>48040.000000000007</v>
      </c>
    </row>
    <row r="73" spans="1:15" ht="15.75" thickBot="1">
      <c r="A73" s="90">
        <v>4630</v>
      </c>
      <c r="B73" s="104" t="s">
        <v>159</v>
      </c>
      <c r="C73" s="110">
        <f>74300/12</f>
        <v>6191.666666666667</v>
      </c>
      <c r="D73" s="110">
        <f t="shared" ref="D73:N73" si="44">74300/12</f>
        <v>6191.666666666667</v>
      </c>
      <c r="E73" s="110">
        <f t="shared" si="44"/>
        <v>6191.666666666667</v>
      </c>
      <c r="F73" s="110">
        <f t="shared" si="44"/>
        <v>6191.666666666667</v>
      </c>
      <c r="G73" s="110">
        <f t="shared" si="44"/>
        <v>6191.666666666667</v>
      </c>
      <c r="H73" s="110">
        <f t="shared" si="44"/>
        <v>6191.666666666667</v>
      </c>
      <c r="I73" s="110">
        <f t="shared" si="44"/>
        <v>6191.666666666667</v>
      </c>
      <c r="J73" s="110">
        <f t="shared" si="44"/>
        <v>6191.666666666667</v>
      </c>
      <c r="K73" s="110">
        <f t="shared" si="44"/>
        <v>6191.666666666667</v>
      </c>
      <c r="L73" s="110">
        <f t="shared" si="44"/>
        <v>6191.666666666667</v>
      </c>
      <c r="M73" s="110">
        <f t="shared" si="44"/>
        <v>6191.666666666667</v>
      </c>
      <c r="N73" s="110">
        <f t="shared" si="44"/>
        <v>6191.666666666667</v>
      </c>
      <c r="O73" s="54">
        <f t="shared" si="37"/>
        <v>74300</v>
      </c>
    </row>
    <row r="74" spans="1:15" ht="15.75" thickBot="1">
      <c r="A74" s="90">
        <v>4631</v>
      </c>
      <c r="B74" s="104" t="s">
        <v>160</v>
      </c>
      <c r="C74" s="159">
        <f>23700/12</f>
        <v>1975</v>
      </c>
      <c r="D74" s="159">
        <f t="shared" ref="D74:N74" si="45">23700/12</f>
        <v>1975</v>
      </c>
      <c r="E74" s="159">
        <f t="shared" si="45"/>
        <v>1975</v>
      </c>
      <c r="F74" s="159">
        <f t="shared" si="45"/>
        <v>1975</v>
      </c>
      <c r="G74" s="159">
        <f t="shared" si="45"/>
        <v>1975</v>
      </c>
      <c r="H74" s="159">
        <f t="shared" si="45"/>
        <v>1975</v>
      </c>
      <c r="I74" s="159">
        <f t="shared" si="45"/>
        <v>1975</v>
      </c>
      <c r="J74" s="159">
        <f t="shared" si="45"/>
        <v>1975</v>
      </c>
      <c r="K74" s="159">
        <f t="shared" si="45"/>
        <v>1975</v>
      </c>
      <c r="L74" s="159">
        <f t="shared" si="45"/>
        <v>1975</v>
      </c>
      <c r="M74" s="159">
        <f t="shared" si="45"/>
        <v>1975</v>
      </c>
      <c r="N74" s="159">
        <f t="shared" si="45"/>
        <v>1975</v>
      </c>
      <c r="O74" s="54">
        <f t="shared" si="37"/>
        <v>23700</v>
      </c>
    </row>
    <row r="75" spans="1:15" ht="15.75" thickBot="1">
      <c r="A75" s="90">
        <v>4632</v>
      </c>
      <c r="B75" s="104" t="s">
        <v>161</v>
      </c>
      <c r="C75" s="110">
        <f>31350/12</f>
        <v>2612.5</v>
      </c>
      <c r="D75" s="110">
        <f t="shared" ref="D75:N75" si="46">31350/12</f>
        <v>2612.5</v>
      </c>
      <c r="E75" s="110">
        <f t="shared" si="46"/>
        <v>2612.5</v>
      </c>
      <c r="F75" s="110">
        <f t="shared" si="46"/>
        <v>2612.5</v>
      </c>
      <c r="G75" s="110">
        <f t="shared" si="46"/>
        <v>2612.5</v>
      </c>
      <c r="H75" s="110">
        <f t="shared" si="46"/>
        <v>2612.5</v>
      </c>
      <c r="I75" s="110">
        <f t="shared" si="46"/>
        <v>2612.5</v>
      </c>
      <c r="J75" s="110">
        <f t="shared" si="46"/>
        <v>2612.5</v>
      </c>
      <c r="K75" s="110">
        <f t="shared" si="46"/>
        <v>2612.5</v>
      </c>
      <c r="L75" s="110">
        <f t="shared" si="46"/>
        <v>2612.5</v>
      </c>
      <c r="M75" s="110">
        <f t="shared" si="46"/>
        <v>2612.5</v>
      </c>
      <c r="N75" s="110">
        <f t="shared" si="46"/>
        <v>2612.5</v>
      </c>
      <c r="O75" s="54">
        <f t="shared" si="37"/>
        <v>31350</v>
      </c>
    </row>
    <row r="76" spans="1:15" ht="15.75" thickBot="1">
      <c r="A76" s="90">
        <v>4633</v>
      </c>
      <c r="B76" s="104" t="s">
        <v>162</v>
      </c>
      <c r="C76" s="110">
        <f>19200/12</f>
        <v>1600</v>
      </c>
      <c r="D76" s="110">
        <f t="shared" ref="D76:N76" si="47">19200/12</f>
        <v>1600</v>
      </c>
      <c r="E76" s="110">
        <f t="shared" si="47"/>
        <v>1600</v>
      </c>
      <c r="F76" s="110">
        <f t="shared" si="47"/>
        <v>1600</v>
      </c>
      <c r="G76" s="110">
        <f t="shared" si="47"/>
        <v>1600</v>
      </c>
      <c r="H76" s="110">
        <f t="shared" si="47"/>
        <v>1600</v>
      </c>
      <c r="I76" s="110">
        <f t="shared" si="47"/>
        <v>1600</v>
      </c>
      <c r="J76" s="110">
        <f t="shared" si="47"/>
        <v>1600</v>
      </c>
      <c r="K76" s="110">
        <f t="shared" si="47"/>
        <v>1600</v>
      </c>
      <c r="L76" s="110">
        <f t="shared" si="47"/>
        <v>1600</v>
      </c>
      <c r="M76" s="110">
        <f t="shared" si="47"/>
        <v>1600</v>
      </c>
      <c r="N76" s="110">
        <f t="shared" si="47"/>
        <v>1600</v>
      </c>
      <c r="O76" s="54">
        <f t="shared" si="37"/>
        <v>19200</v>
      </c>
    </row>
    <row r="77" spans="1:15" ht="15.75" thickBot="1">
      <c r="A77" s="90">
        <v>4650</v>
      </c>
      <c r="B77" s="160" t="s">
        <v>163</v>
      </c>
      <c r="C77" s="110">
        <f>3000/12</f>
        <v>250</v>
      </c>
      <c r="D77" s="110">
        <f t="shared" ref="D77:N77" si="48">3000/12</f>
        <v>250</v>
      </c>
      <c r="E77" s="110">
        <f t="shared" si="48"/>
        <v>250</v>
      </c>
      <c r="F77" s="110">
        <f t="shared" si="48"/>
        <v>250</v>
      </c>
      <c r="G77" s="110">
        <f t="shared" si="48"/>
        <v>250</v>
      </c>
      <c r="H77" s="110">
        <f t="shared" si="48"/>
        <v>250</v>
      </c>
      <c r="I77" s="110">
        <f t="shared" si="48"/>
        <v>250</v>
      </c>
      <c r="J77" s="110">
        <f t="shared" si="48"/>
        <v>250</v>
      </c>
      <c r="K77" s="110">
        <f t="shared" si="48"/>
        <v>250</v>
      </c>
      <c r="L77" s="110">
        <f t="shared" si="48"/>
        <v>250</v>
      </c>
      <c r="M77" s="110">
        <f t="shared" si="48"/>
        <v>250</v>
      </c>
      <c r="N77" s="110">
        <f t="shared" si="48"/>
        <v>250</v>
      </c>
      <c r="O77" s="54">
        <f t="shared" si="37"/>
        <v>3000</v>
      </c>
    </row>
    <row r="78" spans="1:15" ht="15.75" thickBot="1">
      <c r="A78" s="90">
        <v>4653</v>
      </c>
      <c r="B78" s="98" t="s">
        <v>164</v>
      </c>
      <c r="C78" s="110">
        <f>2100/12</f>
        <v>175</v>
      </c>
      <c r="D78" s="110">
        <f t="shared" ref="D78:N78" si="49">2100/12</f>
        <v>175</v>
      </c>
      <c r="E78" s="110">
        <f t="shared" si="49"/>
        <v>175</v>
      </c>
      <c r="F78" s="110">
        <f t="shared" si="49"/>
        <v>175</v>
      </c>
      <c r="G78" s="110">
        <f t="shared" si="49"/>
        <v>175</v>
      </c>
      <c r="H78" s="110">
        <f t="shared" si="49"/>
        <v>175</v>
      </c>
      <c r="I78" s="110">
        <f t="shared" si="49"/>
        <v>175</v>
      </c>
      <c r="J78" s="110">
        <f t="shared" si="49"/>
        <v>175</v>
      </c>
      <c r="K78" s="110">
        <f t="shared" si="49"/>
        <v>175</v>
      </c>
      <c r="L78" s="110">
        <f t="shared" si="49"/>
        <v>175</v>
      </c>
      <c r="M78" s="110">
        <f t="shared" si="49"/>
        <v>175</v>
      </c>
      <c r="N78" s="110">
        <f t="shared" si="49"/>
        <v>175</v>
      </c>
      <c r="O78" s="54">
        <f t="shared" si="37"/>
        <v>2100</v>
      </c>
    </row>
    <row r="79" spans="1:15" ht="15.75" thickBot="1">
      <c r="A79" s="90"/>
      <c r="B79" s="178" t="s">
        <v>219</v>
      </c>
      <c r="C79" s="163">
        <f>4000/12</f>
        <v>333.33333333333331</v>
      </c>
      <c r="D79" s="163">
        <f t="shared" ref="D79:N79" si="50">4000/12</f>
        <v>333.33333333333331</v>
      </c>
      <c r="E79" s="163">
        <f t="shared" si="50"/>
        <v>333.33333333333331</v>
      </c>
      <c r="F79" s="163">
        <f t="shared" si="50"/>
        <v>333.33333333333331</v>
      </c>
      <c r="G79" s="163">
        <f t="shared" si="50"/>
        <v>333.33333333333331</v>
      </c>
      <c r="H79" s="163">
        <f t="shared" si="50"/>
        <v>333.33333333333331</v>
      </c>
      <c r="I79" s="163">
        <f t="shared" si="50"/>
        <v>333.33333333333331</v>
      </c>
      <c r="J79" s="163">
        <f t="shared" si="50"/>
        <v>333.33333333333331</v>
      </c>
      <c r="K79" s="163">
        <f t="shared" si="50"/>
        <v>333.33333333333331</v>
      </c>
      <c r="L79" s="163">
        <f t="shared" si="50"/>
        <v>333.33333333333331</v>
      </c>
      <c r="M79" s="163">
        <f t="shared" si="50"/>
        <v>333.33333333333331</v>
      </c>
      <c r="N79" s="163">
        <f t="shared" si="50"/>
        <v>333.33333333333331</v>
      </c>
      <c r="O79" s="54">
        <f t="shared" si="37"/>
        <v>4000.0000000000005</v>
      </c>
    </row>
    <row r="80" spans="1:15" ht="15.75" thickBot="1">
      <c r="A80" s="90">
        <v>4655</v>
      </c>
      <c r="B80" s="162" t="s">
        <v>165</v>
      </c>
      <c r="C80" s="110">
        <f>2500/12</f>
        <v>208.33333333333334</v>
      </c>
      <c r="D80" s="110">
        <f t="shared" ref="D80:N80" si="51">2500/12</f>
        <v>208.33333333333334</v>
      </c>
      <c r="E80" s="110">
        <f t="shared" si="51"/>
        <v>208.33333333333334</v>
      </c>
      <c r="F80" s="110">
        <f t="shared" si="51"/>
        <v>208.33333333333334</v>
      </c>
      <c r="G80" s="110">
        <f t="shared" si="51"/>
        <v>208.33333333333334</v>
      </c>
      <c r="H80" s="110">
        <f t="shared" si="51"/>
        <v>208.33333333333334</v>
      </c>
      <c r="I80" s="110">
        <f t="shared" si="51"/>
        <v>208.33333333333334</v>
      </c>
      <c r="J80" s="110">
        <f t="shared" si="51"/>
        <v>208.33333333333334</v>
      </c>
      <c r="K80" s="110">
        <f t="shared" si="51"/>
        <v>208.33333333333334</v>
      </c>
      <c r="L80" s="110">
        <f t="shared" si="51"/>
        <v>208.33333333333334</v>
      </c>
      <c r="M80" s="110">
        <f t="shared" si="51"/>
        <v>208.33333333333334</v>
      </c>
      <c r="N80" s="110">
        <f t="shared" si="51"/>
        <v>208.33333333333334</v>
      </c>
      <c r="O80" s="54">
        <f t="shared" si="37"/>
        <v>2500</v>
      </c>
    </row>
    <row r="81" spans="1:15" ht="15.75" thickBot="1">
      <c r="A81" s="90">
        <v>4656</v>
      </c>
      <c r="B81" s="98" t="s">
        <v>166</v>
      </c>
      <c r="C81" s="110">
        <f>6300/12</f>
        <v>525</v>
      </c>
      <c r="D81" s="110">
        <f t="shared" ref="D81:N81" si="52">6300/12</f>
        <v>525</v>
      </c>
      <c r="E81" s="110">
        <f t="shared" si="52"/>
        <v>525</v>
      </c>
      <c r="F81" s="110">
        <f t="shared" si="52"/>
        <v>525</v>
      </c>
      <c r="G81" s="110">
        <f t="shared" si="52"/>
        <v>525</v>
      </c>
      <c r="H81" s="110">
        <f t="shared" si="52"/>
        <v>525</v>
      </c>
      <c r="I81" s="110">
        <f t="shared" si="52"/>
        <v>525</v>
      </c>
      <c r="J81" s="110">
        <f t="shared" si="52"/>
        <v>525</v>
      </c>
      <c r="K81" s="110">
        <f t="shared" si="52"/>
        <v>525</v>
      </c>
      <c r="L81" s="110">
        <f t="shared" si="52"/>
        <v>525</v>
      </c>
      <c r="M81" s="110">
        <f t="shared" si="52"/>
        <v>525</v>
      </c>
      <c r="N81" s="110">
        <f t="shared" si="52"/>
        <v>525</v>
      </c>
      <c r="O81" s="54">
        <f>SUM(C81:N81)</f>
        <v>6300</v>
      </c>
    </row>
    <row r="82" spans="1:15" ht="15.75" thickBot="1">
      <c r="A82" s="36">
        <v>54100</v>
      </c>
      <c r="B82" s="50" t="s">
        <v>168</v>
      </c>
      <c r="C82" s="83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5"/>
      <c r="O82" s="85"/>
    </row>
    <row r="83" spans="1:15" ht="15.75" thickBot="1">
      <c r="A83" s="90">
        <v>4609</v>
      </c>
      <c r="B83" s="91" t="s">
        <v>169</v>
      </c>
      <c r="C83" s="93">
        <f>4750/12</f>
        <v>395.83333333333331</v>
      </c>
      <c r="D83" s="93">
        <f t="shared" ref="D83:N83" si="53">4750/12</f>
        <v>395.83333333333331</v>
      </c>
      <c r="E83" s="93">
        <f t="shared" si="53"/>
        <v>395.83333333333331</v>
      </c>
      <c r="F83" s="93">
        <f t="shared" si="53"/>
        <v>395.83333333333331</v>
      </c>
      <c r="G83" s="93">
        <f t="shared" si="53"/>
        <v>395.83333333333331</v>
      </c>
      <c r="H83" s="93">
        <f t="shared" si="53"/>
        <v>395.83333333333331</v>
      </c>
      <c r="I83" s="93">
        <f t="shared" si="53"/>
        <v>395.83333333333331</v>
      </c>
      <c r="J83" s="93">
        <f t="shared" si="53"/>
        <v>395.83333333333331</v>
      </c>
      <c r="K83" s="93">
        <f t="shared" si="53"/>
        <v>395.83333333333331</v>
      </c>
      <c r="L83" s="93">
        <f t="shared" si="53"/>
        <v>395.83333333333331</v>
      </c>
      <c r="M83" s="93">
        <f t="shared" si="53"/>
        <v>395.83333333333331</v>
      </c>
      <c r="N83" s="93">
        <f t="shared" si="53"/>
        <v>395.83333333333331</v>
      </c>
      <c r="O83" s="54">
        <f t="shared" ref="O83:O87" si="54">SUM(C83:N83)</f>
        <v>4750</v>
      </c>
    </row>
    <row r="84" spans="1:15" ht="15.75" thickBot="1">
      <c r="A84" s="90"/>
      <c r="B84" s="195" t="s">
        <v>220</v>
      </c>
      <c r="C84" s="93">
        <f>2000/12</f>
        <v>166.66666666666666</v>
      </c>
      <c r="D84" s="93">
        <f t="shared" ref="D84:N84" si="55">2000/12</f>
        <v>166.66666666666666</v>
      </c>
      <c r="E84" s="93">
        <f t="shared" si="55"/>
        <v>166.66666666666666</v>
      </c>
      <c r="F84" s="93">
        <f t="shared" si="55"/>
        <v>166.66666666666666</v>
      </c>
      <c r="G84" s="93">
        <f t="shared" si="55"/>
        <v>166.66666666666666</v>
      </c>
      <c r="H84" s="93">
        <f t="shared" si="55"/>
        <v>166.66666666666666</v>
      </c>
      <c r="I84" s="93">
        <f t="shared" si="55"/>
        <v>166.66666666666666</v>
      </c>
      <c r="J84" s="93">
        <f t="shared" si="55"/>
        <v>166.66666666666666</v>
      </c>
      <c r="K84" s="93">
        <f t="shared" si="55"/>
        <v>166.66666666666666</v>
      </c>
      <c r="L84" s="93">
        <f t="shared" si="55"/>
        <v>166.66666666666666</v>
      </c>
      <c r="M84" s="93">
        <f t="shared" si="55"/>
        <v>166.66666666666666</v>
      </c>
      <c r="N84" s="93">
        <f t="shared" si="55"/>
        <v>166.66666666666666</v>
      </c>
      <c r="O84" s="54">
        <f t="shared" si="54"/>
        <v>2000.0000000000002</v>
      </c>
    </row>
    <row r="85" spans="1:15" ht="15.75" thickBot="1">
      <c r="A85" s="90">
        <v>4627</v>
      </c>
      <c r="B85" s="104" t="s">
        <v>170</v>
      </c>
      <c r="C85" s="167">
        <f>1000/12</f>
        <v>83.333333333333329</v>
      </c>
      <c r="D85" s="167">
        <f t="shared" ref="D85:N85" si="56">1000/12</f>
        <v>83.333333333333329</v>
      </c>
      <c r="E85" s="167">
        <f t="shared" si="56"/>
        <v>83.333333333333329</v>
      </c>
      <c r="F85" s="167">
        <f t="shared" si="56"/>
        <v>83.333333333333329</v>
      </c>
      <c r="G85" s="167">
        <f t="shared" si="56"/>
        <v>83.333333333333329</v>
      </c>
      <c r="H85" s="167">
        <f t="shared" si="56"/>
        <v>83.333333333333329</v>
      </c>
      <c r="I85" s="167">
        <f t="shared" si="56"/>
        <v>83.333333333333329</v>
      </c>
      <c r="J85" s="167">
        <f t="shared" si="56"/>
        <v>83.333333333333329</v>
      </c>
      <c r="K85" s="167">
        <f t="shared" si="56"/>
        <v>83.333333333333329</v>
      </c>
      <c r="L85" s="167">
        <f t="shared" si="56"/>
        <v>83.333333333333329</v>
      </c>
      <c r="M85" s="167">
        <f t="shared" si="56"/>
        <v>83.333333333333329</v>
      </c>
      <c r="N85" s="167">
        <f t="shared" si="56"/>
        <v>83.333333333333329</v>
      </c>
      <c r="O85" s="54">
        <f t="shared" si="54"/>
        <v>1000.0000000000001</v>
      </c>
    </row>
    <row r="86" spans="1:15" ht="15.75" thickBot="1">
      <c r="A86" s="90">
        <v>4628</v>
      </c>
      <c r="B86" s="98" t="s">
        <v>171</v>
      </c>
      <c r="C86" s="153">
        <f>5000/12</f>
        <v>416.66666666666669</v>
      </c>
      <c r="D86" s="153">
        <f t="shared" ref="D86:N86" si="57">5000/12</f>
        <v>416.66666666666669</v>
      </c>
      <c r="E86" s="153">
        <f t="shared" si="57"/>
        <v>416.66666666666669</v>
      </c>
      <c r="F86" s="153">
        <f t="shared" si="57"/>
        <v>416.66666666666669</v>
      </c>
      <c r="G86" s="153">
        <f t="shared" si="57"/>
        <v>416.66666666666669</v>
      </c>
      <c r="H86" s="153">
        <f t="shared" si="57"/>
        <v>416.66666666666669</v>
      </c>
      <c r="I86" s="153">
        <f t="shared" si="57"/>
        <v>416.66666666666669</v>
      </c>
      <c r="J86" s="153">
        <f t="shared" si="57"/>
        <v>416.66666666666669</v>
      </c>
      <c r="K86" s="153">
        <f t="shared" si="57"/>
        <v>416.66666666666669</v>
      </c>
      <c r="L86" s="153">
        <f t="shared" si="57"/>
        <v>416.66666666666669</v>
      </c>
      <c r="M86" s="153">
        <f t="shared" si="57"/>
        <v>416.66666666666669</v>
      </c>
      <c r="N86" s="153">
        <f t="shared" si="57"/>
        <v>416.66666666666669</v>
      </c>
      <c r="O86" s="54">
        <f t="shared" si="54"/>
        <v>5000</v>
      </c>
    </row>
    <row r="87" spans="1:15" ht="15.75" thickBot="1">
      <c r="A87" s="90">
        <v>5408</v>
      </c>
      <c r="B87" s="104" t="s">
        <v>221</v>
      </c>
      <c r="C87" s="106">
        <f>12000/12</f>
        <v>1000</v>
      </c>
      <c r="D87" s="106">
        <f t="shared" ref="D87:N87" si="58">12000/12</f>
        <v>1000</v>
      </c>
      <c r="E87" s="106">
        <f t="shared" si="58"/>
        <v>1000</v>
      </c>
      <c r="F87" s="106">
        <f t="shared" si="58"/>
        <v>1000</v>
      </c>
      <c r="G87" s="106">
        <f t="shared" si="58"/>
        <v>1000</v>
      </c>
      <c r="H87" s="106">
        <f t="shared" si="58"/>
        <v>1000</v>
      </c>
      <c r="I87" s="106">
        <f t="shared" si="58"/>
        <v>1000</v>
      </c>
      <c r="J87" s="106">
        <f t="shared" si="58"/>
        <v>1000</v>
      </c>
      <c r="K87" s="106">
        <f t="shared" si="58"/>
        <v>1000</v>
      </c>
      <c r="L87" s="106">
        <f t="shared" si="58"/>
        <v>1000</v>
      </c>
      <c r="M87" s="106">
        <f t="shared" si="58"/>
        <v>1000</v>
      </c>
      <c r="N87" s="106">
        <f t="shared" si="58"/>
        <v>1000</v>
      </c>
      <c r="O87" s="54">
        <f t="shared" si="54"/>
        <v>12000</v>
      </c>
    </row>
    <row r="88" spans="1:15" ht="15.75" thickBot="1">
      <c r="A88" s="36">
        <v>57200</v>
      </c>
      <c r="B88" s="50" t="s">
        <v>173</v>
      </c>
      <c r="C88" s="83"/>
      <c r="D88" s="84"/>
      <c r="E88" s="84"/>
      <c r="F88" s="84"/>
      <c r="G88" s="145"/>
      <c r="H88" s="84"/>
      <c r="I88" s="84"/>
      <c r="J88" s="84"/>
      <c r="K88" s="84"/>
      <c r="L88" s="84"/>
      <c r="M88" s="84"/>
      <c r="N88" s="85"/>
      <c r="O88" s="85"/>
    </row>
    <row r="89" spans="1:15" ht="15.75" thickBot="1">
      <c r="A89" s="90">
        <v>4580</v>
      </c>
      <c r="B89" s="168" t="s">
        <v>174</v>
      </c>
      <c r="C89" s="169">
        <f>245595/12</f>
        <v>20466.25</v>
      </c>
      <c r="D89" s="169">
        <f t="shared" ref="D89:N89" si="59">245595/12</f>
        <v>20466.25</v>
      </c>
      <c r="E89" s="169">
        <f t="shared" si="59"/>
        <v>20466.25</v>
      </c>
      <c r="F89" s="169">
        <f t="shared" si="59"/>
        <v>20466.25</v>
      </c>
      <c r="G89" s="169">
        <f t="shared" si="59"/>
        <v>20466.25</v>
      </c>
      <c r="H89" s="169">
        <f t="shared" si="59"/>
        <v>20466.25</v>
      </c>
      <c r="I89" s="169">
        <f t="shared" si="59"/>
        <v>20466.25</v>
      </c>
      <c r="J89" s="169">
        <f t="shared" si="59"/>
        <v>20466.25</v>
      </c>
      <c r="K89" s="169">
        <f t="shared" si="59"/>
        <v>20466.25</v>
      </c>
      <c r="L89" s="169">
        <f t="shared" si="59"/>
        <v>20466.25</v>
      </c>
      <c r="M89" s="169">
        <f t="shared" si="59"/>
        <v>20466.25</v>
      </c>
      <c r="N89" s="169">
        <f t="shared" si="59"/>
        <v>20466.25</v>
      </c>
      <c r="O89" s="54">
        <f t="shared" ref="O89:O113" si="60">SUM(C89:N89)</f>
        <v>245595</v>
      </c>
    </row>
    <row r="90" spans="1:15" ht="15.75" thickBot="1">
      <c r="A90" s="90">
        <v>4582</v>
      </c>
      <c r="B90" s="104" t="s">
        <v>175</v>
      </c>
      <c r="C90" s="110">
        <f>36000/12</f>
        <v>3000</v>
      </c>
      <c r="D90" s="110">
        <f t="shared" ref="D90:N90" si="61">36000/12</f>
        <v>3000</v>
      </c>
      <c r="E90" s="110">
        <f t="shared" si="61"/>
        <v>3000</v>
      </c>
      <c r="F90" s="110">
        <f t="shared" si="61"/>
        <v>3000</v>
      </c>
      <c r="G90" s="110">
        <f t="shared" si="61"/>
        <v>3000</v>
      </c>
      <c r="H90" s="110">
        <f t="shared" si="61"/>
        <v>3000</v>
      </c>
      <c r="I90" s="110">
        <f t="shared" si="61"/>
        <v>3000</v>
      </c>
      <c r="J90" s="110">
        <f t="shared" si="61"/>
        <v>3000</v>
      </c>
      <c r="K90" s="110">
        <f t="shared" si="61"/>
        <v>3000</v>
      </c>
      <c r="L90" s="110">
        <f t="shared" si="61"/>
        <v>3000</v>
      </c>
      <c r="M90" s="110">
        <f t="shared" si="61"/>
        <v>3000</v>
      </c>
      <c r="N90" s="110">
        <f t="shared" si="61"/>
        <v>3000</v>
      </c>
      <c r="O90" s="54">
        <f t="shared" si="60"/>
        <v>36000</v>
      </c>
    </row>
    <row r="91" spans="1:15" ht="15.75" thickBot="1">
      <c r="A91" s="90">
        <v>4617</v>
      </c>
      <c r="B91" s="98" t="s">
        <v>176</v>
      </c>
      <c r="C91" s="170">
        <f>588383/12</f>
        <v>49031.916666666664</v>
      </c>
      <c r="D91" s="170">
        <f t="shared" ref="D91:N91" si="62">588383/12</f>
        <v>49031.916666666664</v>
      </c>
      <c r="E91" s="170">
        <f t="shared" si="62"/>
        <v>49031.916666666664</v>
      </c>
      <c r="F91" s="170">
        <f t="shared" si="62"/>
        <v>49031.916666666664</v>
      </c>
      <c r="G91" s="170">
        <f t="shared" si="62"/>
        <v>49031.916666666664</v>
      </c>
      <c r="H91" s="170">
        <f t="shared" si="62"/>
        <v>49031.916666666664</v>
      </c>
      <c r="I91" s="170">
        <f t="shared" si="62"/>
        <v>49031.916666666664</v>
      </c>
      <c r="J91" s="170">
        <f t="shared" si="62"/>
        <v>49031.916666666664</v>
      </c>
      <c r="K91" s="170">
        <f t="shared" si="62"/>
        <v>49031.916666666664</v>
      </c>
      <c r="L91" s="170">
        <f t="shared" si="62"/>
        <v>49031.916666666664</v>
      </c>
      <c r="M91" s="170">
        <f t="shared" si="62"/>
        <v>49031.916666666664</v>
      </c>
      <c r="N91" s="170">
        <f t="shared" si="62"/>
        <v>49031.916666666664</v>
      </c>
      <c r="O91" s="54">
        <f t="shared" si="60"/>
        <v>588383</v>
      </c>
    </row>
    <row r="92" spans="1:15" ht="15.75" thickBot="1">
      <c r="A92" s="90">
        <v>4909</v>
      </c>
      <c r="B92" s="104" t="s">
        <v>177</v>
      </c>
      <c r="C92" s="92">
        <f>18000/12</f>
        <v>1500</v>
      </c>
      <c r="D92" s="92">
        <f t="shared" ref="D92:N92" si="63">18000/12</f>
        <v>1500</v>
      </c>
      <c r="E92" s="92">
        <f t="shared" si="63"/>
        <v>1500</v>
      </c>
      <c r="F92" s="92">
        <f t="shared" si="63"/>
        <v>1500</v>
      </c>
      <c r="G92" s="92">
        <f t="shared" si="63"/>
        <v>1500</v>
      </c>
      <c r="H92" s="92">
        <f t="shared" si="63"/>
        <v>1500</v>
      </c>
      <c r="I92" s="92">
        <f t="shared" si="63"/>
        <v>1500</v>
      </c>
      <c r="J92" s="92">
        <f t="shared" si="63"/>
        <v>1500</v>
      </c>
      <c r="K92" s="92">
        <f t="shared" si="63"/>
        <v>1500</v>
      </c>
      <c r="L92" s="92">
        <f t="shared" si="63"/>
        <v>1500</v>
      </c>
      <c r="M92" s="92">
        <f t="shared" si="63"/>
        <v>1500</v>
      </c>
      <c r="N92" s="92">
        <f t="shared" si="63"/>
        <v>1500</v>
      </c>
      <c r="O92" s="54">
        <f t="shared" si="60"/>
        <v>18000</v>
      </c>
    </row>
    <row r="93" spans="1:15" ht="15.75" thickBot="1">
      <c r="A93" s="90">
        <v>5300</v>
      </c>
      <c r="B93" s="104" t="s">
        <v>178</v>
      </c>
      <c r="C93" s="95">
        <f>2500/12</f>
        <v>208.33333333333334</v>
      </c>
      <c r="D93" s="95">
        <f t="shared" ref="D93:N93" si="64">2500/12</f>
        <v>208.33333333333334</v>
      </c>
      <c r="E93" s="95">
        <f t="shared" si="64"/>
        <v>208.33333333333334</v>
      </c>
      <c r="F93" s="95">
        <f t="shared" si="64"/>
        <v>208.33333333333334</v>
      </c>
      <c r="G93" s="95">
        <f t="shared" si="64"/>
        <v>208.33333333333334</v>
      </c>
      <c r="H93" s="95">
        <f t="shared" si="64"/>
        <v>208.33333333333334</v>
      </c>
      <c r="I93" s="95">
        <f t="shared" si="64"/>
        <v>208.33333333333334</v>
      </c>
      <c r="J93" s="95">
        <f t="shared" si="64"/>
        <v>208.33333333333334</v>
      </c>
      <c r="K93" s="95">
        <f t="shared" si="64"/>
        <v>208.33333333333334</v>
      </c>
      <c r="L93" s="95">
        <f t="shared" si="64"/>
        <v>208.33333333333334</v>
      </c>
      <c r="M93" s="95">
        <f t="shared" si="64"/>
        <v>208.33333333333334</v>
      </c>
      <c r="N93" s="95">
        <f t="shared" si="64"/>
        <v>208.33333333333334</v>
      </c>
      <c r="O93" s="54">
        <f t="shared" si="60"/>
        <v>2500</v>
      </c>
    </row>
    <row r="94" spans="1:15" ht="15.75" thickBot="1">
      <c r="A94" s="94">
        <v>5304</v>
      </c>
      <c r="B94" s="104" t="s">
        <v>222</v>
      </c>
      <c r="C94" s="95">
        <f>500/12</f>
        <v>41.666666666666664</v>
      </c>
      <c r="D94" s="95">
        <f t="shared" ref="D94:N95" si="65">500/12</f>
        <v>41.666666666666664</v>
      </c>
      <c r="E94" s="95">
        <f t="shared" si="65"/>
        <v>41.666666666666664</v>
      </c>
      <c r="F94" s="95">
        <f t="shared" si="65"/>
        <v>41.666666666666664</v>
      </c>
      <c r="G94" s="95">
        <f t="shared" si="65"/>
        <v>41.666666666666664</v>
      </c>
      <c r="H94" s="95">
        <f t="shared" si="65"/>
        <v>41.666666666666664</v>
      </c>
      <c r="I94" s="95">
        <f t="shared" si="65"/>
        <v>41.666666666666664</v>
      </c>
      <c r="J94" s="95">
        <f t="shared" si="65"/>
        <v>41.666666666666664</v>
      </c>
      <c r="K94" s="95">
        <f t="shared" si="65"/>
        <v>41.666666666666664</v>
      </c>
      <c r="L94" s="95">
        <f t="shared" si="65"/>
        <v>41.666666666666664</v>
      </c>
      <c r="M94" s="95">
        <f t="shared" si="65"/>
        <v>41.666666666666664</v>
      </c>
      <c r="N94" s="95">
        <f t="shared" si="65"/>
        <v>41.666666666666664</v>
      </c>
      <c r="O94" s="54">
        <f t="shared" si="60"/>
        <v>500.00000000000006</v>
      </c>
    </row>
    <row r="95" spans="1:15" ht="15.75" thickBot="1">
      <c r="A95" s="90">
        <v>5324</v>
      </c>
      <c r="B95" s="98" t="s">
        <v>180</v>
      </c>
      <c r="C95" s="95">
        <f>500/12</f>
        <v>41.666666666666664</v>
      </c>
      <c r="D95" s="95">
        <f t="shared" si="65"/>
        <v>41.666666666666664</v>
      </c>
      <c r="E95" s="95">
        <f t="shared" si="65"/>
        <v>41.666666666666664</v>
      </c>
      <c r="F95" s="95">
        <f t="shared" si="65"/>
        <v>41.666666666666664</v>
      </c>
      <c r="G95" s="95">
        <f t="shared" si="65"/>
        <v>41.666666666666664</v>
      </c>
      <c r="H95" s="95">
        <f t="shared" si="65"/>
        <v>41.666666666666664</v>
      </c>
      <c r="I95" s="95">
        <f t="shared" si="65"/>
        <v>41.666666666666664</v>
      </c>
      <c r="J95" s="95">
        <f t="shared" si="65"/>
        <v>41.666666666666664</v>
      </c>
      <c r="K95" s="95">
        <f t="shared" si="65"/>
        <v>41.666666666666664</v>
      </c>
      <c r="L95" s="95">
        <f t="shared" si="65"/>
        <v>41.666666666666664</v>
      </c>
      <c r="M95" s="95">
        <f t="shared" si="65"/>
        <v>41.666666666666664</v>
      </c>
      <c r="N95" s="95">
        <f t="shared" si="65"/>
        <v>41.666666666666664</v>
      </c>
      <c r="O95" s="54">
        <f t="shared" si="60"/>
        <v>500.00000000000006</v>
      </c>
    </row>
    <row r="96" spans="1:15" ht="15.75" thickBot="1">
      <c r="A96" s="90">
        <v>5339</v>
      </c>
      <c r="B96" s="171" t="s">
        <v>223</v>
      </c>
      <c r="C96" s="113">
        <f>5000/12</f>
        <v>416.66666666666669</v>
      </c>
      <c r="D96" s="113">
        <f t="shared" ref="D96:N96" si="66">5000/12</f>
        <v>416.66666666666669</v>
      </c>
      <c r="E96" s="113">
        <f t="shared" si="66"/>
        <v>416.66666666666669</v>
      </c>
      <c r="F96" s="113">
        <f t="shared" si="66"/>
        <v>416.66666666666669</v>
      </c>
      <c r="G96" s="113">
        <f t="shared" si="66"/>
        <v>416.66666666666669</v>
      </c>
      <c r="H96" s="113">
        <f t="shared" si="66"/>
        <v>416.66666666666669</v>
      </c>
      <c r="I96" s="113">
        <f t="shared" si="66"/>
        <v>416.66666666666669</v>
      </c>
      <c r="J96" s="113">
        <f t="shared" si="66"/>
        <v>416.66666666666669</v>
      </c>
      <c r="K96" s="113">
        <f t="shared" si="66"/>
        <v>416.66666666666669</v>
      </c>
      <c r="L96" s="113">
        <f t="shared" si="66"/>
        <v>416.66666666666669</v>
      </c>
      <c r="M96" s="113">
        <f t="shared" si="66"/>
        <v>416.66666666666669</v>
      </c>
      <c r="N96" s="113">
        <f t="shared" si="66"/>
        <v>416.66666666666669</v>
      </c>
      <c r="O96" s="54">
        <f t="shared" si="60"/>
        <v>5000</v>
      </c>
    </row>
    <row r="97" spans="1:15" ht="15.75" thickBot="1">
      <c r="A97" s="90">
        <v>5400</v>
      </c>
      <c r="B97" s="171" t="s">
        <v>182</v>
      </c>
      <c r="C97" s="113">
        <f>50000/12</f>
        <v>4166.666666666667</v>
      </c>
      <c r="D97" s="113">
        <f t="shared" ref="D97:N97" si="67">50000/12</f>
        <v>4166.666666666667</v>
      </c>
      <c r="E97" s="113">
        <f t="shared" si="67"/>
        <v>4166.666666666667</v>
      </c>
      <c r="F97" s="113">
        <f t="shared" si="67"/>
        <v>4166.666666666667</v>
      </c>
      <c r="G97" s="113">
        <f t="shared" si="67"/>
        <v>4166.666666666667</v>
      </c>
      <c r="H97" s="113">
        <f t="shared" si="67"/>
        <v>4166.666666666667</v>
      </c>
      <c r="I97" s="113">
        <f t="shared" si="67"/>
        <v>4166.666666666667</v>
      </c>
      <c r="J97" s="113">
        <f t="shared" si="67"/>
        <v>4166.666666666667</v>
      </c>
      <c r="K97" s="113">
        <f t="shared" si="67"/>
        <v>4166.666666666667</v>
      </c>
      <c r="L97" s="113">
        <f t="shared" si="67"/>
        <v>4166.666666666667</v>
      </c>
      <c r="M97" s="113">
        <f t="shared" si="67"/>
        <v>4166.666666666667</v>
      </c>
      <c r="N97" s="113">
        <f t="shared" si="67"/>
        <v>4166.666666666667</v>
      </c>
      <c r="O97" s="54">
        <f t="shared" si="60"/>
        <v>49999.999999999993</v>
      </c>
    </row>
    <row r="98" spans="1:15" ht="15.75" thickBot="1">
      <c r="A98" s="90">
        <v>5404</v>
      </c>
      <c r="B98" s="98" t="s">
        <v>183</v>
      </c>
      <c r="C98" s="172">
        <f>3200/12</f>
        <v>266.66666666666669</v>
      </c>
      <c r="D98" s="172">
        <f t="shared" ref="D98:N98" si="68">3200/12</f>
        <v>266.66666666666669</v>
      </c>
      <c r="E98" s="172">
        <f t="shared" si="68"/>
        <v>266.66666666666669</v>
      </c>
      <c r="F98" s="172">
        <f t="shared" si="68"/>
        <v>266.66666666666669</v>
      </c>
      <c r="G98" s="172">
        <f t="shared" si="68"/>
        <v>266.66666666666669</v>
      </c>
      <c r="H98" s="172">
        <f t="shared" si="68"/>
        <v>266.66666666666669</v>
      </c>
      <c r="I98" s="172">
        <f t="shared" si="68"/>
        <v>266.66666666666669</v>
      </c>
      <c r="J98" s="172">
        <f t="shared" si="68"/>
        <v>266.66666666666669</v>
      </c>
      <c r="K98" s="172">
        <f t="shared" si="68"/>
        <v>266.66666666666669</v>
      </c>
      <c r="L98" s="172">
        <f t="shared" si="68"/>
        <v>266.66666666666669</v>
      </c>
      <c r="M98" s="172">
        <f t="shared" si="68"/>
        <v>266.66666666666669</v>
      </c>
      <c r="N98" s="172">
        <f t="shared" si="68"/>
        <v>266.66666666666669</v>
      </c>
      <c r="O98" s="54">
        <f t="shared" si="60"/>
        <v>3199.9999999999995</v>
      </c>
    </row>
    <row r="99" spans="1:15" ht="15.75" thickBot="1">
      <c r="A99" s="90">
        <v>5414</v>
      </c>
      <c r="B99" s="98" t="s">
        <v>184</v>
      </c>
      <c r="C99" s="99">
        <f>35000/12</f>
        <v>2916.6666666666665</v>
      </c>
      <c r="D99" s="99">
        <f t="shared" ref="D99:N99" si="69">35000/12</f>
        <v>2916.6666666666665</v>
      </c>
      <c r="E99" s="99">
        <f t="shared" si="69"/>
        <v>2916.6666666666665</v>
      </c>
      <c r="F99" s="99">
        <f t="shared" si="69"/>
        <v>2916.6666666666665</v>
      </c>
      <c r="G99" s="99">
        <f t="shared" si="69"/>
        <v>2916.6666666666665</v>
      </c>
      <c r="H99" s="99">
        <f t="shared" si="69"/>
        <v>2916.6666666666665</v>
      </c>
      <c r="I99" s="99">
        <f t="shared" si="69"/>
        <v>2916.6666666666665</v>
      </c>
      <c r="J99" s="99">
        <f t="shared" si="69"/>
        <v>2916.6666666666665</v>
      </c>
      <c r="K99" s="99">
        <f t="shared" si="69"/>
        <v>2916.6666666666665</v>
      </c>
      <c r="L99" s="99">
        <f t="shared" si="69"/>
        <v>2916.6666666666665</v>
      </c>
      <c r="M99" s="99">
        <f t="shared" si="69"/>
        <v>2916.6666666666665</v>
      </c>
      <c r="N99" s="99">
        <f t="shared" si="69"/>
        <v>2916.6666666666665</v>
      </c>
      <c r="O99" s="54">
        <f t="shared" si="60"/>
        <v>35000.000000000007</v>
      </c>
    </row>
    <row r="100" spans="1:15" ht="15.75" thickBot="1">
      <c r="A100" s="90">
        <v>5416</v>
      </c>
      <c r="B100" s="98" t="s">
        <v>185</v>
      </c>
      <c r="C100" s="95">
        <f>10000/12</f>
        <v>833.33333333333337</v>
      </c>
      <c r="D100" s="95">
        <f t="shared" ref="D100:N100" si="70">10000/12</f>
        <v>833.33333333333337</v>
      </c>
      <c r="E100" s="95">
        <f t="shared" si="70"/>
        <v>833.33333333333337</v>
      </c>
      <c r="F100" s="95">
        <f t="shared" si="70"/>
        <v>833.33333333333337</v>
      </c>
      <c r="G100" s="95">
        <f t="shared" si="70"/>
        <v>833.33333333333337</v>
      </c>
      <c r="H100" s="95">
        <f t="shared" si="70"/>
        <v>833.33333333333337</v>
      </c>
      <c r="I100" s="95">
        <f t="shared" si="70"/>
        <v>833.33333333333337</v>
      </c>
      <c r="J100" s="95">
        <f t="shared" si="70"/>
        <v>833.33333333333337</v>
      </c>
      <c r="K100" s="95">
        <f t="shared" si="70"/>
        <v>833.33333333333337</v>
      </c>
      <c r="L100" s="95">
        <f t="shared" si="70"/>
        <v>833.33333333333337</v>
      </c>
      <c r="M100" s="95">
        <f t="shared" si="70"/>
        <v>833.33333333333337</v>
      </c>
      <c r="N100" s="95">
        <f t="shared" si="70"/>
        <v>833.33333333333337</v>
      </c>
      <c r="O100" s="54">
        <f t="shared" si="60"/>
        <v>10000</v>
      </c>
    </row>
    <row r="101" spans="1:15" ht="15.75" thickBot="1">
      <c r="A101" s="173">
        <v>5417</v>
      </c>
      <c r="B101" s="104" t="s">
        <v>186</v>
      </c>
      <c r="C101" s="95">
        <f>15000/12</f>
        <v>1250</v>
      </c>
      <c r="D101" s="95">
        <f t="shared" ref="D101:N101" si="71">15000/12</f>
        <v>1250</v>
      </c>
      <c r="E101" s="95">
        <f t="shared" si="71"/>
        <v>1250</v>
      </c>
      <c r="F101" s="95">
        <f t="shared" si="71"/>
        <v>1250</v>
      </c>
      <c r="G101" s="95">
        <f t="shared" si="71"/>
        <v>1250</v>
      </c>
      <c r="H101" s="95">
        <f t="shared" si="71"/>
        <v>1250</v>
      </c>
      <c r="I101" s="95">
        <f t="shared" si="71"/>
        <v>1250</v>
      </c>
      <c r="J101" s="95">
        <f t="shared" si="71"/>
        <v>1250</v>
      </c>
      <c r="K101" s="95">
        <f t="shared" si="71"/>
        <v>1250</v>
      </c>
      <c r="L101" s="95">
        <f t="shared" si="71"/>
        <v>1250</v>
      </c>
      <c r="M101" s="95">
        <f t="shared" si="71"/>
        <v>1250</v>
      </c>
      <c r="N101" s="95">
        <f t="shared" si="71"/>
        <v>1250</v>
      </c>
      <c r="O101" s="54">
        <f t="shared" si="60"/>
        <v>15000</v>
      </c>
    </row>
    <row r="102" spans="1:15" ht="15.75" thickBot="1">
      <c r="A102" s="90">
        <v>5419</v>
      </c>
      <c r="B102" s="98" t="s">
        <v>187</v>
      </c>
      <c r="C102" s="95">
        <f>1500/12</f>
        <v>125</v>
      </c>
      <c r="D102" s="95">
        <f t="shared" ref="D102:N102" si="72">1500/12</f>
        <v>125</v>
      </c>
      <c r="E102" s="95">
        <f t="shared" si="72"/>
        <v>125</v>
      </c>
      <c r="F102" s="95">
        <f t="shared" si="72"/>
        <v>125</v>
      </c>
      <c r="G102" s="95">
        <f t="shared" si="72"/>
        <v>125</v>
      </c>
      <c r="H102" s="95">
        <f t="shared" si="72"/>
        <v>125</v>
      </c>
      <c r="I102" s="95">
        <f t="shared" si="72"/>
        <v>125</v>
      </c>
      <c r="J102" s="95">
        <f t="shared" si="72"/>
        <v>125</v>
      </c>
      <c r="K102" s="95">
        <f t="shared" si="72"/>
        <v>125</v>
      </c>
      <c r="L102" s="95">
        <f t="shared" si="72"/>
        <v>125</v>
      </c>
      <c r="M102" s="95">
        <f t="shared" si="72"/>
        <v>125</v>
      </c>
      <c r="N102" s="95">
        <f t="shared" si="72"/>
        <v>125</v>
      </c>
      <c r="O102" s="54">
        <f t="shared" si="60"/>
        <v>1500</v>
      </c>
    </row>
    <row r="103" spans="1:15" ht="15.75" thickBot="1">
      <c r="A103" s="90">
        <v>5420</v>
      </c>
      <c r="B103" s="98" t="s">
        <v>188</v>
      </c>
      <c r="C103" s="99">
        <f>5000/12</f>
        <v>416.66666666666669</v>
      </c>
      <c r="D103" s="99">
        <f t="shared" ref="D103:N103" si="73">5000/12</f>
        <v>416.66666666666669</v>
      </c>
      <c r="E103" s="99">
        <f t="shared" si="73"/>
        <v>416.66666666666669</v>
      </c>
      <c r="F103" s="99">
        <f t="shared" si="73"/>
        <v>416.66666666666669</v>
      </c>
      <c r="G103" s="99">
        <f t="shared" si="73"/>
        <v>416.66666666666669</v>
      </c>
      <c r="H103" s="99">
        <f t="shared" si="73"/>
        <v>416.66666666666669</v>
      </c>
      <c r="I103" s="99">
        <f t="shared" si="73"/>
        <v>416.66666666666669</v>
      </c>
      <c r="J103" s="99">
        <f t="shared" si="73"/>
        <v>416.66666666666669</v>
      </c>
      <c r="K103" s="99">
        <f t="shared" si="73"/>
        <v>416.66666666666669</v>
      </c>
      <c r="L103" s="99">
        <f t="shared" si="73"/>
        <v>416.66666666666669</v>
      </c>
      <c r="M103" s="99">
        <f t="shared" si="73"/>
        <v>416.66666666666669</v>
      </c>
      <c r="N103" s="99">
        <f t="shared" si="73"/>
        <v>416.66666666666669</v>
      </c>
      <c r="O103" s="54">
        <f t="shared" si="60"/>
        <v>5000</v>
      </c>
    </row>
    <row r="104" spans="1:15" ht="15.75" thickBot="1">
      <c r="A104" s="90">
        <v>5421</v>
      </c>
      <c r="B104" s="98" t="s">
        <v>189</v>
      </c>
      <c r="C104" s="95">
        <f>2500/12</f>
        <v>208.33333333333334</v>
      </c>
      <c r="D104" s="95">
        <f t="shared" ref="D104:N104" si="74">2500/12</f>
        <v>208.33333333333334</v>
      </c>
      <c r="E104" s="95">
        <f t="shared" si="74"/>
        <v>208.33333333333334</v>
      </c>
      <c r="F104" s="95">
        <f t="shared" si="74"/>
        <v>208.33333333333334</v>
      </c>
      <c r="G104" s="95">
        <f t="shared" si="74"/>
        <v>208.33333333333334</v>
      </c>
      <c r="H104" s="95">
        <f t="shared" si="74"/>
        <v>208.33333333333334</v>
      </c>
      <c r="I104" s="95">
        <f t="shared" si="74"/>
        <v>208.33333333333334</v>
      </c>
      <c r="J104" s="95">
        <f t="shared" si="74"/>
        <v>208.33333333333334</v>
      </c>
      <c r="K104" s="95">
        <f t="shared" si="74"/>
        <v>208.33333333333334</v>
      </c>
      <c r="L104" s="95">
        <f t="shared" si="74"/>
        <v>208.33333333333334</v>
      </c>
      <c r="M104" s="95">
        <f t="shared" si="74"/>
        <v>208.33333333333334</v>
      </c>
      <c r="N104" s="95">
        <f t="shared" si="74"/>
        <v>208.33333333333334</v>
      </c>
      <c r="O104" s="54">
        <f t="shared" si="60"/>
        <v>2500</v>
      </c>
    </row>
    <row r="105" spans="1:15" ht="15.75" thickBot="1">
      <c r="A105" s="90">
        <v>5422</v>
      </c>
      <c r="B105" s="98" t="s">
        <v>190</v>
      </c>
      <c r="C105" s="95">
        <f>11000/12</f>
        <v>916.66666666666663</v>
      </c>
      <c r="D105" s="95">
        <f t="shared" ref="D105:N105" si="75">11000/12</f>
        <v>916.66666666666663</v>
      </c>
      <c r="E105" s="95">
        <f t="shared" si="75"/>
        <v>916.66666666666663</v>
      </c>
      <c r="F105" s="95">
        <f t="shared" si="75"/>
        <v>916.66666666666663</v>
      </c>
      <c r="G105" s="95">
        <f t="shared" si="75"/>
        <v>916.66666666666663</v>
      </c>
      <c r="H105" s="95">
        <f t="shared" si="75"/>
        <v>916.66666666666663</v>
      </c>
      <c r="I105" s="95">
        <f t="shared" si="75"/>
        <v>916.66666666666663</v>
      </c>
      <c r="J105" s="95">
        <f t="shared" si="75"/>
        <v>916.66666666666663</v>
      </c>
      <c r="K105" s="95">
        <f t="shared" si="75"/>
        <v>916.66666666666663</v>
      </c>
      <c r="L105" s="95">
        <f t="shared" si="75"/>
        <v>916.66666666666663</v>
      </c>
      <c r="M105" s="95">
        <f t="shared" si="75"/>
        <v>916.66666666666663</v>
      </c>
      <c r="N105" s="95">
        <f t="shared" si="75"/>
        <v>916.66666666666663</v>
      </c>
      <c r="O105" s="54">
        <f t="shared" si="60"/>
        <v>10999.999999999998</v>
      </c>
    </row>
    <row r="106" spans="1:15" ht="15.75" thickBot="1">
      <c r="A106" s="173">
        <v>5423</v>
      </c>
      <c r="B106" s="158" t="s">
        <v>191</v>
      </c>
      <c r="C106" s="95">
        <f>5000/12</f>
        <v>416.66666666666669</v>
      </c>
      <c r="D106" s="95">
        <f t="shared" ref="D106:N106" si="76">5000/12</f>
        <v>416.66666666666669</v>
      </c>
      <c r="E106" s="95">
        <f t="shared" si="76"/>
        <v>416.66666666666669</v>
      </c>
      <c r="F106" s="95">
        <f t="shared" si="76"/>
        <v>416.66666666666669</v>
      </c>
      <c r="G106" s="95">
        <f t="shared" si="76"/>
        <v>416.66666666666669</v>
      </c>
      <c r="H106" s="95">
        <f t="shared" si="76"/>
        <v>416.66666666666669</v>
      </c>
      <c r="I106" s="95">
        <f t="shared" si="76"/>
        <v>416.66666666666669</v>
      </c>
      <c r="J106" s="95">
        <f t="shared" si="76"/>
        <v>416.66666666666669</v>
      </c>
      <c r="K106" s="95">
        <f t="shared" si="76"/>
        <v>416.66666666666669</v>
      </c>
      <c r="L106" s="95">
        <f t="shared" si="76"/>
        <v>416.66666666666669</v>
      </c>
      <c r="M106" s="95">
        <f t="shared" si="76"/>
        <v>416.66666666666669</v>
      </c>
      <c r="N106" s="95">
        <f t="shared" si="76"/>
        <v>416.66666666666669</v>
      </c>
      <c r="O106" s="54">
        <f t="shared" si="60"/>
        <v>5000</v>
      </c>
    </row>
    <row r="107" spans="1:15" ht="15.75" thickBot="1">
      <c r="A107" s="90">
        <v>5434</v>
      </c>
      <c r="B107" s="104" t="s">
        <v>192</v>
      </c>
      <c r="C107" s="95">
        <f>775/12</f>
        <v>64.583333333333329</v>
      </c>
      <c r="D107" s="95">
        <f t="shared" ref="D107:N107" si="77">775/12</f>
        <v>64.583333333333329</v>
      </c>
      <c r="E107" s="95">
        <f t="shared" si="77"/>
        <v>64.583333333333329</v>
      </c>
      <c r="F107" s="95">
        <f t="shared" si="77"/>
        <v>64.583333333333329</v>
      </c>
      <c r="G107" s="95">
        <f t="shared" si="77"/>
        <v>64.583333333333329</v>
      </c>
      <c r="H107" s="95">
        <f t="shared" si="77"/>
        <v>64.583333333333329</v>
      </c>
      <c r="I107" s="95">
        <f t="shared" si="77"/>
        <v>64.583333333333329</v>
      </c>
      <c r="J107" s="95">
        <f t="shared" si="77"/>
        <v>64.583333333333329</v>
      </c>
      <c r="K107" s="95">
        <f t="shared" si="77"/>
        <v>64.583333333333329</v>
      </c>
      <c r="L107" s="95">
        <f t="shared" si="77"/>
        <v>64.583333333333329</v>
      </c>
      <c r="M107" s="95">
        <f t="shared" si="77"/>
        <v>64.583333333333329</v>
      </c>
      <c r="N107" s="95">
        <f t="shared" si="77"/>
        <v>64.583333333333329</v>
      </c>
      <c r="O107" s="54">
        <f t="shared" si="60"/>
        <v>775.00000000000011</v>
      </c>
    </row>
    <row r="108" spans="1:15" ht="15.75" thickBot="1">
      <c r="A108" s="90">
        <v>5445</v>
      </c>
      <c r="B108" s="96" t="s">
        <v>193</v>
      </c>
      <c r="C108" s="196">
        <f>25000/12</f>
        <v>2083.3333333333335</v>
      </c>
      <c r="D108" s="196">
        <f t="shared" ref="D108:N108" si="78">25000/12</f>
        <v>2083.3333333333335</v>
      </c>
      <c r="E108" s="196">
        <f t="shared" si="78"/>
        <v>2083.3333333333335</v>
      </c>
      <c r="F108" s="196">
        <f t="shared" si="78"/>
        <v>2083.3333333333335</v>
      </c>
      <c r="G108" s="196">
        <f t="shared" si="78"/>
        <v>2083.3333333333335</v>
      </c>
      <c r="H108" s="196">
        <f t="shared" si="78"/>
        <v>2083.3333333333335</v>
      </c>
      <c r="I108" s="196">
        <f t="shared" si="78"/>
        <v>2083.3333333333335</v>
      </c>
      <c r="J108" s="196">
        <f t="shared" si="78"/>
        <v>2083.3333333333335</v>
      </c>
      <c r="K108" s="196">
        <f t="shared" si="78"/>
        <v>2083.3333333333335</v>
      </c>
      <c r="L108" s="196">
        <f t="shared" si="78"/>
        <v>2083.3333333333335</v>
      </c>
      <c r="M108" s="196">
        <f t="shared" si="78"/>
        <v>2083.3333333333335</v>
      </c>
      <c r="N108" s="196">
        <f t="shared" si="78"/>
        <v>2083.3333333333335</v>
      </c>
      <c r="O108" s="54">
        <f t="shared" si="60"/>
        <v>24999.999999999996</v>
      </c>
    </row>
    <row r="109" spans="1:15" ht="15.75" thickBot="1">
      <c r="A109" s="90">
        <v>5415</v>
      </c>
      <c r="B109" s="104" t="s">
        <v>194</v>
      </c>
      <c r="C109" s="99">
        <f>3500/12</f>
        <v>291.66666666666669</v>
      </c>
      <c r="D109" s="99">
        <f t="shared" ref="D109:N109" si="79">3500/12</f>
        <v>291.66666666666669</v>
      </c>
      <c r="E109" s="99">
        <f t="shared" si="79"/>
        <v>291.66666666666669</v>
      </c>
      <c r="F109" s="99">
        <f t="shared" si="79"/>
        <v>291.66666666666669</v>
      </c>
      <c r="G109" s="99">
        <f t="shared" si="79"/>
        <v>291.66666666666669</v>
      </c>
      <c r="H109" s="99">
        <f t="shared" si="79"/>
        <v>291.66666666666669</v>
      </c>
      <c r="I109" s="99">
        <f t="shared" si="79"/>
        <v>291.66666666666669</v>
      </c>
      <c r="J109" s="99">
        <f t="shared" si="79"/>
        <v>291.66666666666669</v>
      </c>
      <c r="K109" s="99">
        <f t="shared" si="79"/>
        <v>291.66666666666669</v>
      </c>
      <c r="L109" s="99">
        <f t="shared" si="79"/>
        <v>291.66666666666669</v>
      </c>
      <c r="M109" s="99">
        <f t="shared" si="79"/>
        <v>291.66666666666669</v>
      </c>
      <c r="N109" s="99">
        <f t="shared" si="79"/>
        <v>291.66666666666669</v>
      </c>
      <c r="O109" s="54">
        <f t="shared" si="60"/>
        <v>3499.9999999999995</v>
      </c>
    </row>
    <row r="110" spans="1:15" ht="15.75" thickBot="1">
      <c r="A110" s="173">
        <v>5425</v>
      </c>
      <c r="B110" s="158" t="s">
        <v>195</v>
      </c>
      <c r="C110" s="95">
        <f>5000/12</f>
        <v>416.66666666666669</v>
      </c>
      <c r="D110" s="95">
        <f t="shared" ref="D110:N110" si="80">5000/12</f>
        <v>416.66666666666669</v>
      </c>
      <c r="E110" s="95">
        <f t="shared" si="80"/>
        <v>416.66666666666669</v>
      </c>
      <c r="F110" s="95">
        <f t="shared" si="80"/>
        <v>416.66666666666669</v>
      </c>
      <c r="G110" s="95">
        <f t="shared" si="80"/>
        <v>416.66666666666669</v>
      </c>
      <c r="H110" s="95">
        <f t="shared" si="80"/>
        <v>416.66666666666669</v>
      </c>
      <c r="I110" s="95">
        <f t="shared" si="80"/>
        <v>416.66666666666669</v>
      </c>
      <c r="J110" s="95">
        <f t="shared" si="80"/>
        <v>416.66666666666669</v>
      </c>
      <c r="K110" s="95">
        <f t="shared" si="80"/>
        <v>416.66666666666669</v>
      </c>
      <c r="L110" s="95">
        <f t="shared" si="80"/>
        <v>416.66666666666669</v>
      </c>
      <c r="M110" s="95">
        <f t="shared" si="80"/>
        <v>416.66666666666669</v>
      </c>
      <c r="N110" s="95">
        <f t="shared" si="80"/>
        <v>416.66666666666669</v>
      </c>
      <c r="O110" s="54">
        <f t="shared" si="60"/>
        <v>5000</v>
      </c>
    </row>
    <row r="111" spans="1:15" ht="15.75" thickBot="1">
      <c r="A111" s="90">
        <v>5411</v>
      </c>
      <c r="B111" s="104" t="s">
        <v>196</v>
      </c>
      <c r="C111" s="118">
        <f>500/12</f>
        <v>41.666666666666664</v>
      </c>
      <c r="D111" s="118">
        <f t="shared" ref="D111:N111" si="81">500/12</f>
        <v>41.666666666666664</v>
      </c>
      <c r="E111" s="118">
        <f t="shared" si="81"/>
        <v>41.666666666666664</v>
      </c>
      <c r="F111" s="118">
        <f t="shared" si="81"/>
        <v>41.666666666666664</v>
      </c>
      <c r="G111" s="118">
        <f t="shared" si="81"/>
        <v>41.666666666666664</v>
      </c>
      <c r="H111" s="118">
        <f t="shared" si="81"/>
        <v>41.666666666666664</v>
      </c>
      <c r="I111" s="118">
        <f t="shared" si="81"/>
        <v>41.666666666666664</v>
      </c>
      <c r="J111" s="118">
        <f t="shared" si="81"/>
        <v>41.666666666666664</v>
      </c>
      <c r="K111" s="118">
        <f t="shared" si="81"/>
        <v>41.666666666666664</v>
      </c>
      <c r="L111" s="118">
        <f t="shared" si="81"/>
        <v>41.666666666666664</v>
      </c>
      <c r="M111" s="118">
        <f t="shared" si="81"/>
        <v>41.666666666666664</v>
      </c>
      <c r="N111" s="118">
        <f t="shared" si="81"/>
        <v>41.666666666666664</v>
      </c>
      <c r="O111" s="54">
        <f t="shared" si="60"/>
        <v>500.00000000000006</v>
      </c>
    </row>
    <row r="112" spans="1:15" ht="15.75" thickBot="1">
      <c r="A112" s="90">
        <v>5413</v>
      </c>
      <c r="B112" s="104" t="s">
        <v>197</v>
      </c>
      <c r="C112" s="95">
        <f>2500/12</f>
        <v>208.33333333333334</v>
      </c>
      <c r="D112" s="95">
        <f t="shared" ref="D112:N112" si="82">2500/12</f>
        <v>208.33333333333334</v>
      </c>
      <c r="E112" s="95">
        <f t="shared" si="82"/>
        <v>208.33333333333334</v>
      </c>
      <c r="F112" s="95">
        <f t="shared" si="82"/>
        <v>208.33333333333334</v>
      </c>
      <c r="G112" s="95">
        <f t="shared" si="82"/>
        <v>208.33333333333334</v>
      </c>
      <c r="H112" s="95">
        <f t="shared" si="82"/>
        <v>208.33333333333334</v>
      </c>
      <c r="I112" s="95">
        <f t="shared" si="82"/>
        <v>208.33333333333334</v>
      </c>
      <c r="J112" s="95">
        <f t="shared" si="82"/>
        <v>208.33333333333334</v>
      </c>
      <c r="K112" s="95">
        <f t="shared" si="82"/>
        <v>208.33333333333334</v>
      </c>
      <c r="L112" s="95">
        <f t="shared" si="82"/>
        <v>208.33333333333334</v>
      </c>
      <c r="M112" s="95">
        <f t="shared" si="82"/>
        <v>208.33333333333334</v>
      </c>
      <c r="N112" s="95">
        <f t="shared" si="82"/>
        <v>208.33333333333334</v>
      </c>
      <c r="O112" s="54">
        <f t="shared" si="60"/>
        <v>2500</v>
      </c>
    </row>
    <row r="113" spans="1:15" ht="15.75" thickBot="1">
      <c r="A113" s="90">
        <v>5459</v>
      </c>
      <c r="B113" s="104" t="s">
        <v>198</v>
      </c>
      <c r="C113" s="172">
        <f>12000/12</f>
        <v>1000</v>
      </c>
      <c r="D113" s="172">
        <f t="shared" ref="D113:N113" si="83">12000/12</f>
        <v>1000</v>
      </c>
      <c r="E113" s="172">
        <f t="shared" si="83"/>
        <v>1000</v>
      </c>
      <c r="F113" s="172">
        <f t="shared" si="83"/>
        <v>1000</v>
      </c>
      <c r="G113" s="172">
        <f t="shared" si="83"/>
        <v>1000</v>
      </c>
      <c r="H113" s="172">
        <f t="shared" si="83"/>
        <v>1000</v>
      </c>
      <c r="I113" s="172">
        <f t="shared" si="83"/>
        <v>1000</v>
      </c>
      <c r="J113" s="172">
        <f t="shared" si="83"/>
        <v>1000</v>
      </c>
      <c r="K113" s="172">
        <f t="shared" si="83"/>
        <v>1000</v>
      </c>
      <c r="L113" s="172">
        <f t="shared" si="83"/>
        <v>1000</v>
      </c>
      <c r="M113" s="172">
        <f t="shared" si="83"/>
        <v>1000</v>
      </c>
      <c r="N113" s="172">
        <f t="shared" si="83"/>
        <v>1000</v>
      </c>
      <c r="O113" s="54">
        <f t="shared" si="60"/>
        <v>12000</v>
      </c>
    </row>
    <row r="114" spans="1:15" ht="15.75" thickBot="1">
      <c r="A114" s="36">
        <v>57300</v>
      </c>
      <c r="B114" s="50" t="s">
        <v>199</v>
      </c>
      <c r="C114" s="174"/>
      <c r="D114" s="175"/>
      <c r="E114" s="175"/>
      <c r="F114" s="175"/>
      <c r="G114" s="176"/>
      <c r="H114" s="175"/>
      <c r="I114" s="175"/>
      <c r="J114" s="175"/>
      <c r="K114" s="175"/>
      <c r="L114" s="175"/>
      <c r="M114" s="175"/>
      <c r="N114" s="177"/>
      <c r="O114" s="177"/>
    </row>
    <row r="115" spans="1:15" ht="15.75" thickBot="1">
      <c r="A115" s="173">
        <v>4582</v>
      </c>
      <c r="B115" s="178" t="s">
        <v>200</v>
      </c>
      <c r="C115" s="95">
        <f>11250/12</f>
        <v>937.5</v>
      </c>
      <c r="D115" s="95">
        <f t="shared" ref="D115:N115" si="84">11250/12</f>
        <v>937.5</v>
      </c>
      <c r="E115" s="95">
        <f t="shared" si="84"/>
        <v>937.5</v>
      </c>
      <c r="F115" s="95">
        <f t="shared" si="84"/>
        <v>937.5</v>
      </c>
      <c r="G115" s="95">
        <f t="shared" si="84"/>
        <v>937.5</v>
      </c>
      <c r="H115" s="95">
        <f t="shared" si="84"/>
        <v>937.5</v>
      </c>
      <c r="I115" s="95">
        <f t="shared" si="84"/>
        <v>937.5</v>
      </c>
      <c r="J115" s="95">
        <f t="shared" si="84"/>
        <v>937.5</v>
      </c>
      <c r="K115" s="95">
        <f t="shared" si="84"/>
        <v>937.5</v>
      </c>
      <c r="L115" s="95">
        <f t="shared" si="84"/>
        <v>937.5</v>
      </c>
      <c r="M115" s="95">
        <f t="shared" si="84"/>
        <v>937.5</v>
      </c>
      <c r="N115" s="95">
        <f t="shared" si="84"/>
        <v>937.5</v>
      </c>
      <c r="O115" s="54">
        <f t="shared" ref="O115:O125" si="85">SUM(C115:N115)</f>
        <v>11250</v>
      </c>
    </row>
    <row r="116" spans="1:15" ht="15.75" thickBot="1">
      <c r="A116" s="173">
        <v>5400</v>
      </c>
      <c r="B116" s="179" t="s">
        <v>201</v>
      </c>
      <c r="C116" s="95">
        <f>10000/12</f>
        <v>833.33333333333337</v>
      </c>
      <c r="D116" s="95">
        <f t="shared" ref="D116:N116" si="86">10000/12</f>
        <v>833.33333333333337</v>
      </c>
      <c r="E116" s="95">
        <f t="shared" si="86"/>
        <v>833.33333333333337</v>
      </c>
      <c r="F116" s="95">
        <f t="shared" si="86"/>
        <v>833.33333333333337</v>
      </c>
      <c r="G116" s="95">
        <f t="shared" si="86"/>
        <v>833.33333333333337</v>
      </c>
      <c r="H116" s="95">
        <f t="shared" si="86"/>
        <v>833.33333333333337</v>
      </c>
      <c r="I116" s="95">
        <f t="shared" si="86"/>
        <v>833.33333333333337</v>
      </c>
      <c r="J116" s="95">
        <f t="shared" si="86"/>
        <v>833.33333333333337</v>
      </c>
      <c r="K116" s="95">
        <f t="shared" si="86"/>
        <v>833.33333333333337</v>
      </c>
      <c r="L116" s="95">
        <f t="shared" si="86"/>
        <v>833.33333333333337</v>
      </c>
      <c r="M116" s="95">
        <f t="shared" si="86"/>
        <v>833.33333333333337</v>
      </c>
      <c r="N116" s="95">
        <f t="shared" si="86"/>
        <v>833.33333333333337</v>
      </c>
      <c r="O116" s="54">
        <f t="shared" si="85"/>
        <v>10000</v>
      </c>
    </row>
    <row r="117" spans="1:15" ht="15.75" thickBot="1">
      <c r="A117" s="173">
        <v>5401</v>
      </c>
      <c r="B117" s="179" t="s">
        <v>202</v>
      </c>
      <c r="C117" s="95">
        <f>23000/12</f>
        <v>1916.6666666666667</v>
      </c>
      <c r="D117" s="95">
        <f t="shared" ref="D117:N117" si="87">23000/12</f>
        <v>1916.6666666666667</v>
      </c>
      <c r="E117" s="95">
        <f t="shared" si="87"/>
        <v>1916.6666666666667</v>
      </c>
      <c r="F117" s="95">
        <f t="shared" si="87"/>
        <v>1916.6666666666667</v>
      </c>
      <c r="G117" s="95">
        <f t="shared" si="87"/>
        <v>1916.6666666666667</v>
      </c>
      <c r="H117" s="95">
        <f t="shared" si="87"/>
        <v>1916.6666666666667</v>
      </c>
      <c r="I117" s="95">
        <f t="shared" si="87"/>
        <v>1916.6666666666667</v>
      </c>
      <c r="J117" s="95">
        <f t="shared" si="87"/>
        <v>1916.6666666666667</v>
      </c>
      <c r="K117" s="95">
        <f t="shared" si="87"/>
        <v>1916.6666666666667</v>
      </c>
      <c r="L117" s="95">
        <f t="shared" si="87"/>
        <v>1916.6666666666667</v>
      </c>
      <c r="M117" s="95">
        <f t="shared" si="87"/>
        <v>1916.6666666666667</v>
      </c>
      <c r="N117" s="95">
        <f t="shared" si="87"/>
        <v>1916.6666666666667</v>
      </c>
      <c r="O117" s="54">
        <f t="shared" si="85"/>
        <v>23000.000000000004</v>
      </c>
    </row>
    <row r="118" spans="1:15" ht="15.75" thickBot="1">
      <c r="A118" s="173">
        <v>5403</v>
      </c>
      <c r="B118" s="179" t="s">
        <v>203</v>
      </c>
      <c r="C118" s="95">
        <f>1020/12</f>
        <v>85</v>
      </c>
      <c r="D118" s="95">
        <f t="shared" ref="D118:N118" si="88">1020/12</f>
        <v>85</v>
      </c>
      <c r="E118" s="95">
        <f t="shared" si="88"/>
        <v>85</v>
      </c>
      <c r="F118" s="95">
        <f t="shared" si="88"/>
        <v>85</v>
      </c>
      <c r="G118" s="95">
        <f t="shared" si="88"/>
        <v>85</v>
      </c>
      <c r="H118" s="95">
        <f t="shared" si="88"/>
        <v>85</v>
      </c>
      <c r="I118" s="95">
        <f t="shared" si="88"/>
        <v>85</v>
      </c>
      <c r="J118" s="95">
        <f t="shared" si="88"/>
        <v>85</v>
      </c>
      <c r="K118" s="95">
        <f t="shared" si="88"/>
        <v>85</v>
      </c>
      <c r="L118" s="95">
        <f t="shared" si="88"/>
        <v>85</v>
      </c>
      <c r="M118" s="95">
        <f t="shared" si="88"/>
        <v>85</v>
      </c>
      <c r="N118" s="95">
        <f t="shared" si="88"/>
        <v>85</v>
      </c>
      <c r="O118" s="54">
        <f t="shared" si="85"/>
        <v>1020</v>
      </c>
    </row>
    <row r="119" spans="1:15" ht="15.75" thickBot="1">
      <c r="A119" s="90">
        <v>5405</v>
      </c>
      <c r="B119" s="178" t="s">
        <v>204</v>
      </c>
      <c r="C119" s="95">
        <f>1500/12</f>
        <v>125</v>
      </c>
      <c r="D119" s="95">
        <f t="shared" ref="D119:N119" si="89">1500/12</f>
        <v>125</v>
      </c>
      <c r="E119" s="95">
        <f t="shared" si="89"/>
        <v>125</v>
      </c>
      <c r="F119" s="95">
        <f t="shared" si="89"/>
        <v>125</v>
      </c>
      <c r="G119" s="95">
        <f t="shared" si="89"/>
        <v>125</v>
      </c>
      <c r="H119" s="95">
        <f t="shared" si="89"/>
        <v>125</v>
      </c>
      <c r="I119" s="95">
        <f t="shared" si="89"/>
        <v>125</v>
      </c>
      <c r="J119" s="95">
        <f t="shared" si="89"/>
        <v>125</v>
      </c>
      <c r="K119" s="95">
        <f t="shared" si="89"/>
        <v>125</v>
      </c>
      <c r="L119" s="95">
        <f t="shared" si="89"/>
        <v>125</v>
      </c>
      <c r="M119" s="95">
        <f t="shared" si="89"/>
        <v>125</v>
      </c>
      <c r="N119" s="95">
        <f t="shared" si="89"/>
        <v>125</v>
      </c>
      <c r="O119" s="54">
        <f t="shared" si="85"/>
        <v>1500</v>
      </c>
    </row>
    <row r="120" spans="1:15" ht="15.75" thickBot="1">
      <c r="A120" s="90">
        <v>5407</v>
      </c>
      <c r="B120" s="180" t="s">
        <v>205</v>
      </c>
      <c r="C120" s="118">
        <f>15000/12</f>
        <v>1250</v>
      </c>
      <c r="D120" s="118">
        <f t="shared" ref="D120:N120" si="90">15000/12</f>
        <v>1250</v>
      </c>
      <c r="E120" s="118">
        <f t="shared" si="90"/>
        <v>1250</v>
      </c>
      <c r="F120" s="118">
        <f t="shared" si="90"/>
        <v>1250</v>
      </c>
      <c r="G120" s="118">
        <f t="shared" si="90"/>
        <v>1250</v>
      </c>
      <c r="H120" s="118">
        <f t="shared" si="90"/>
        <v>1250</v>
      </c>
      <c r="I120" s="118">
        <f t="shared" si="90"/>
        <v>1250</v>
      </c>
      <c r="J120" s="118">
        <f t="shared" si="90"/>
        <v>1250</v>
      </c>
      <c r="K120" s="118">
        <f t="shared" si="90"/>
        <v>1250</v>
      </c>
      <c r="L120" s="118">
        <f t="shared" si="90"/>
        <v>1250</v>
      </c>
      <c r="M120" s="118">
        <f t="shared" si="90"/>
        <v>1250</v>
      </c>
      <c r="N120" s="118">
        <f t="shared" si="90"/>
        <v>1250</v>
      </c>
      <c r="O120" s="54">
        <f t="shared" si="85"/>
        <v>15000</v>
      </c>
    </row>
    <row r="121" spans="1:15" ht="15.75" thickBot="1">
      <c r="A121" s="90">
        <v>5409</v>
      </c>
      <c r="B121" s="178" t="s">
        <v>206</v>
      </c>
      <c r="C121" s="99">
        <f>300/12</f>
        <v>25</v>
      </c>
      <c r="D121" s="99">
        <f t="shared" ref="D121:N121" si="91">300/12</f>
        <v>25</v>
      </c>
      <c r="E121" s="99">
        <f t="shared" si="91"/>
        <v>25</v>
      </c>
      <c r="F121" s="99">
        <f t="shared" si="91"/>
        <v>25</v>
      </c>
      <c r="G121" s="99">
        <f t="shared" si="91"/>
        <v>25</v>
      </c>
      <c r="H121" s="99">
        <f t="shared" si="91"/>
        <v>25</v>
      </c>
      <c r="I121" s="99">
        <f t="shared" si="91"/>
        <v>25</v>
      </c>
      <c r="J121" s="99">
        <f t="shared" si="91"/>
        <v>25</v>
      </c>
      <c r="K121" s="99">
        <f t="shared" si="91"/>
        <v>25</v>
      </c>
      <c r="L121" s="99">
        <f t="shared" si="91"/>
        <v>25</v>
      </c>
      <c r="M121" s="99">
        <f t="shared" si="91"/>
        <v>25</v>
      </c>
      <c r="N121" s="99">
        <f t="shared" si="91"/>
        <v>25</v>
      </c>
      <c r="O121" s="54">
        <f t="shared" si="85"/>
        <v>300</v>
      </c>
    </row>
    <row r="122" spans="1:15" ht="15.75" thickBot="1">
      <c r="A122" s="173">
        <v>5414</v>
      </c>
      <c r="B122" s="179" t="s">
        <v>207</v>
      </c>
      <c r="C122" s="95">
        <f>5000/12</f>
        <v>416.66666666666669</v>
      </c>
      <c r="D122" s="95">
        <f t="shared" ref="D122:N122" si="92">5000/12</f>
        <v>416.66666666666669</v>
      </c>
      <c r="E122" s="95">
        <f t="shared" si="92"/>
        <v>416.66666666666669</v>
      </c>
      <c r="F122" s="95">
        <f t="shared" si="92"/>
        <v>416.66666666666669</v>
      </c>
      <c r="G122" s="95">
        <f t="shared" si="92"/>
        <v>416.66666666666669</v>
      </c>
      <c r="H122" s="95">
        <f t="shared" si="92"/>
        <v>416.66666666666669</v>
      </c>
      <c r="I122" s="95">
        <f t="shared" si="92"/>
        <v>416.66666666666669</v>
      </c>
      <c r="J122" s="95">
        <f t="shared" si="92"/>
        <v>416.66666666666669</v>
      </c>
      <c r="K122" s="95">
        <f t="shared" si="92"/>
        <v>416.66666666666669</v>
      </c>
      <c r="L122" s="95">
        <f t="shared" si="92"/>
        <v>416.66666666666669</v>
      </c>
      <c r="M122" s="95">
        <f t="shared" si="92"/>
        <v>416.66666666666669</v>
      </c>
      <c r="N122" s="95">
        <f t="shared" si="92"/>
        <v>416.66666666666669</v>
      </c>
      <c r="O122" s="54">
        <f t="shared" si="85"/>
        <v>5000</v>
      </c>
    </row>
    <row r="123" spans="1:15" ht="15.75" thickBot="1">
      <c r="A123" s="173"/>
      <c r="B123" s="179" t="s">
        <v>224</v>
      </c>
      <c r="C123" s="95">
        <f>18000/12</f>
        <v>1500</v>
      </c>
      <c r="D123" s="95">
        <f t="shared" ref="D123:N123" si="93">18000/12</f>
        <v>1500</v>
      </c>
      <c r="E123" s="95">
        <f t="shared" si="93"/>
        <v>1500</v>
      </c>
      <c r="F123" s="95">
        <f t="shared" si="93"/>
        <v>1500</v>
      </c>
      <c r="G123" s="95">
        <f t="shared" si="93"/>
        <v>1500</v>
      </c>
      <c r="H123" s="95">
        <f t="shared" si="93"/>
        <v>1500</v>
      </c>
      <c r="I123" s="95">
        <f t="shared" si="93"/>
        <v>1500</v>
      </c>
      <c r="J123" s="95">
        <f t="shared" si="93"/>
        <v>1500</v>
      </c>
      <c r="K123" s="95">
        <f t="shared" si="93"/>
        <v>1500</v>
      </c>
      <c r="L123" s="95">
        <f t="shared" si="93"/>
        <v>1500</v>
      </c>
      <c r="M123" s="95">
        <f t="shared" si="93"/>
        <v>1500</v>
      </c>
      <c r="N123" s="95">
        <f t="shared" si="93"/>
        <v>1500</v>
      </c>
      <c r="O123" s="54">
        <f t="shared" si="85"/>
        <v>18000</v>
      </c>
    </row>
    <row r="124" spans="1:15" ht="15.75" thickBot="1">
      <c r="A124" s="90">
        <v>5431</v>
      </c>
      <c r="B124" s="178" t="s">
        <v>208</v>
      </c>
      <c r="C124" s="95">
        <f>10000/12</f>
        <v>833.33333333333337</v>
      </c>
      <c r="D124" s="95">
        <f t="shared" ref="D124:N124" si="94">10000/12</f>
        <v>833.33333333333337</v>
      </c>
      <c r="E124" s="95">
        <f t="shared" si="94"/>
        <v>833.33333333333337</v>
      </c>
      <c r="F124" s="95">
        <f t="shared" si="94"/>
        <v>833.33333333333337</v>
      </c>
      <c r="G124" s="95">
        <f t="shared" si="94"/>
        <v>833.33333333333337</v>
      </c>
      <c r="H124" s="95">
        <f t="shared" si="94"/>
        <v>833.33333333333337</v>
      </c>
      <c r="I124" s="95">
        <f t="shared" si="94"/>
        <v>833.33333333333337</v>
      </c>
      <c r="J124" s="95">
        <f t="shared" si="94"/>
        <v>833.33333333333337</v>
      </c>
      <c r="K124" s="95">
        <f t="shared" si="94"/>
        <v>833.33333333333337</v>
      </c>
      <c r="L124" s="95">
        <f t="shared" si="94"/>
        <v>833.33333333333337</v>
      </c>
      <c r="M124" s="95">
        <f t="shared" si="94"/>
        <v>833.33333333333337</v>
      </c>
      <c r="N124" s="95">
        <f t="shared" si="94"/>
        <v>833.33333333333337</v>
      </c>
      <c r="O124" s="54">
        <f t="shared" si="85"/>
        <v>10000</v>
      </c>
    </row>
    <row r="125" spans="1:15" ht="15.75" thickBot="1">
      <c r="A125" s="90">
        <v>5433</v>
      </c>
      <c r="B125" s="180" t="s">
        <v>209</v>
      </c>
      <c r="C125" s="118">
        <v>0</v>
      </c>
      <c r="D125" s="118">
        <v>0</v>
      </c>
      <c r="E125" s="118">
        <v>0</v>
      </c>
      <c r="F125" s="118">
        <v>0</v>
      </c>
      <c r="G125" s="118">
        <v>0</v>
      </c>
      <c r="H125" s="118">
        <v>0</v>
      </c>
      <c r="I125" s="118">
        <v>0</v>
      </c>
      <c r="J125" s="118">
        <v>0</v>
      </c>
      <c r="K125" s="118">
        <v>0</v>
      </c>
      <c r="L125" s="118">
        <v>0</v>
      </c>
      <c r="M125" s="118">
        <v>0</v>
      </c>
      <c r="N125" s="118">
        <v>0</v>
      </c>
      <c r="O125" s="54">
        <f t="shared" si="85"/>
        <v>0</v>
      </c>
    </row>
    <row r="126" spans="1:15" ht="15.75" thickBot="1">
      <c r="A126" s="36">
        <v>57900</v>
      </c>
      <c r="B126" s="50" t="s">
        <v>210</v>
      </c>
      <c r="C126" s="174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7"/>
      <c r="O126" s="177"/>
    </row>
    <row r="127" spans="1:15" ht="15.75" thickBot="1">
      <c r="A127" s="94"/>
      <c r="B127" s="197" t="s">
        <v>225</v>
      </c>
      <c r="C127" s="201">
        <v>232450</v>
      </c>
      <c r="D127" s="201">
        <v>0</v>
      </c>
      <c r="E127" s="201">
        <v>0</v>
      </c>
      <c r="F127" s="201">
        <v>0</v>
      </c>
      <c r="G127" s="201">
        <v>0</v>
      </c>
      <c r="H127" s="201">
        <v>0</v>
      </c>
      <c r="I127" s="201">
        <v>0</v>
      </c>
      <c r="J127" s="201">
        <v>0</v>
      </c>
      <c r="K127" s="201">
        <v>0</v>
      </c>
      <c r="L127" s="201">
        <v>0</v>
      </c>
      <c r="M127" s="201">
        <v>0</v>
      </c>
      <c r="N127" s="201">
        <v>0</v>
      </c>
      <c r="O127" s="54">
        <f t="shared" ref="O127:O132" si="95">SUM(C127:N127)</f>
        <v>232450</v>
      </c>
    </row>
    <row r="128" spans="1:15" ht="15.75" thickBot="1">
      <c r="A128" s="94"/>
      <c r="B128" s="197" t="s">
        <v>226</v>
      </c>
      <c r="C128" s="155">
        <f>50000/12</f>
        <v>4166.666666666667</v>
      </c>
      <c r="D128" s="155">
        <f t="shared" ref="D128:N128" si="96">50000/12</f>
        <v>4166.666666666667</v>
      </c>
      <c r="E128" s="155">
        <f t="shared" si="96"/>
        <v>4166.666666666667</v>
      </c>
      <c r="F128" s="155">
        <f t="shared" si="96"/>
        <v>4166.666666666667</v>
      </c>
      <c r="G128" s="155">
        <f t="shared" si="96"/>
        <v>4166.666666666667</v>
      </c>
      <c r="H128" s="155">
        <f t="shared" si="96"/>
        <v>4166.666666666667</v>
      </c>
      <c r="I128" s="155">
        <f t="shared" si="96"/>
        <v>4166.666666666667</v>
      </c>
      <c r="J128" s="155">
        <f t="shared" si="96"/>
        <v>4166.666666666667</v>
      </c>
      <c r="K128" s="155">
        <f t="shared" si="96"/>
        <v>4166.666666666667</v>
      </c>
      <c r="L128" s="155">
        <f t="shared" si="96"/>
        <v>4166.666666666667</v>
      </c>
      <c r="M128" s="155">
        <f t="shared" si="96"/>
        <v>4166.666666666667</v>
      </c>
      <c r="N128" s="155">
        <f t="shared" si="96"/>
        <v>4166.666666666667</v>
      </c>
      <c r="O128" s="54">
        <f t="shared" si="95"/>
        <v>49999.999999999993</v>
      </c>
    </row>
    <row r="129" spans="1:15" ht="15.75" thickBot="1">
      <c r="A129" s="94"/>
      <c r="B129" s="197" t="s">
        <v>227</v>
      </c>
      <c r="C129" s="155">
        <f>200000/12</f>
        <v>16666.666666666668</v>
      </c>
      <c r="D129" s="155">
        <f t="shared" ref="D129:N129" si="97">200000/12</f>
        <v>16666.666666666668</v>
      </c>
      <c r="E129" s="155">
        <f t="shared" si="97"/>
        <v>16666.666666666668</v>
      </c>
      <c r="F129" s="155">
        <f t="shared" si="97"/>
        <v>16666.666666666668</v>
      </c>
      <c r="G129" s="155">
        <f t="shared" si="97"/>
        <v>16666.666666666668</v>
      </c>
      <c r="H129" s="155">
        <f t="shared" si="97"/>
        <v>16666.666666666668</v>
      </c>
      <c r="I129" s="155">
        <f t="shared" si="97"/>
        <v>16666.666666666668</v>
      </c>
      <c r="J129" s="155">
        <f t="shared" si="97"/>
        <v>16666.666666666668</v>
      </c>
      <c r="K129" s="155">
        <f t="shared" si="97"/>
        <v>16666.666666666668</v>
      </c>
      <c r="L129" s="155">
        <f t="shared" si="97"/>
        <v>16666.666666666668</v>
      </c>
      <c r="M129" s="155">
        <f t="shared" si="97"/>
        <v>16666.666666666668</v>
      </c>
      <c r="N129" s="155">
        <f t="shared" si="97"/>
        <v>16666.666666666668</v>
      </c>
      <c r="O129" s="54">
        <f t="shared" si="95"/>
        <v>199999.99999999997</v>
      </c>
    </row>
    <row r="130" spans="1:15" ht="15.75" thickBot="1">
      <c r="A130" s="94">
        <v>4614</v>
      </c>
      <c r="B130" s="181" t="s">
        <v>211</v>
      </c>
      <c r="C130" s="155">
        <v>0</v>
      </c>
      <c r="D130" s="155"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54">
        <f t="shared" si="95"/>
        <v>0</v>
      </c>
    </row>
    <row r="131" spans="1:15" ht="15.75" thickBot="1">
      <c r="A131" s="94"/>
      <c r="B131" s="197" t="s">
        <v>228</v>
      </c>
      <c r="C131" s="155">
        <v>0</v>
      </c>
      <c r="D131" s="155">
        <v>0</v>
      </c>
      <c r="E131" s="155">
        <v>0</v>
      </c>
      <c r="F131" s="155">
        <v>0</v>
      </c>
      <c r="G131" s="155">
        <v>0</v>
      </c>
      <c r="H131" s="155">
        <v>0</v>
      </c>
      <c r="I131" s="155">
        <v>0</v>
      </c>
      <c r="J131" s="155">
        <v>0</v>
      </c>
      <c r="K131" s="155">
        <v>0</v>
      </c>
      <c r="L131" s="155">
        <v>0</v>
      </c>
      <c r="M131" s="155">
        <v>0</v>
      </c>
      <c r="N131" s="155">
        <v>0</v>
      </c>
      <c r="O131" s="54">
        <f t="shared" si="95"/>
        <v>0</v>
      </c>
    </row>
    <row r="132" spans="1:15" ht="15.75" thickBot="1">
      <c r="A132" s="94">
        <v>6401</v>
      </c>
      <c r="B132" s="181" t="s">
        <v>212</v>
      </c>
      <c r="C132" s="155">
        <v>0</v>
      </c>
      <c r="D132" s="155">
        <v>0</v>
      </c>
      <c r="E132" s="155">
        <v>0</v>
      </c>
      <c r="F132" s="155">
        <v>0</v>
      </c>
      <c r="G132" s="155">
        <v>0</v>
      </c>
      <c r="H132" s="155">
        <v>0</v>
      </c>
      <c r="I132" s="155">
        <v>0</v>
      </c>
      <c r="J132" s="155">
        <v>0</v>
      </c>
      <c r="K132" s="155">
        <v>0</v>
      </c>
      <c r="L132" s="155">
        <v>0</v>
      </c>
      <c r="M132" s="155">
        <v>0</v>
      </c>
      <c r="N132" s="155">
        <v>0</v>
      </c>
      <c r="O132" s="54">
        <f t="shared" si="95"/>
        <v>0</v>
      </c>
    </row>
    <row r="133" spans="1:15" ht="15.75" thickBot="1">
      <c r="B133" s="182" t="s">
        <v>213</v>
      </c>
      <c r="C133" s="198">
        <f>SUM(C17:C132)</f>
        <v>610492.26666666684</v>
      </c>
      <c r="D133" s="199">
        <f t="shared" ref="D133:N133" si="98">SUM(D17:D132)</f>
        <v>262784.66666666663</v>
      </c>
      <c r="E133" s="199">
        <f t="shared" si="98"/>
        <v>273862.6966666666</v>
      </c>
      <c r="F133" s="199">
        <f t="shared" si="98"/>
        <v>259169.66666666663</v>
      </c>
      <c r="G133" s="199">
        <f t="shared" si="98"/>
        <v>259169.66666666663</v>
      </c>
      <c r="H133" s="199">
        <f t="shared" si="98"/>
        <v>259169.66666666663</v>
      </c>
      <c r="I133" s="199">
        <f t="shared" si="98"/>
        <v>259169.66666666663</v>
      </c>
      <c r="J133" s="199">
        <f t="shared" si="98"/>
        <v>259169.66666666663</v>
      </c>
      <c r="K133" s="199">
        <f t="shared" si="98"/>
        <v>262869.66666666663</v>
      </c>
      <c r="L133" s="199">
        <f t="shared" si="98"/>
        <v>259169.66666666663</v>
      </c>
      <c r="M133" s="199">
        <f t="shared" si="98"/>
        <v>259169.66666666663</v>
      </c>
      <c r="N133" s="199">
        <f t="shared" si="98"/>
        <v>268629.03666666662</v>
      </c>
      <c r="O133" s="199">
        <f>SUM(C133:N133)</f>
        <v>3492825.9999999991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1"/>
  <sheetViews>
    <sheetView topLeftCell="A19" workbookViewId="0">
      <selection activeCell="T51" sqref="T51"/>
    </sheetView>
  </sheetViews>
  <sheetFormatPr defaultRowHeight="15"/>
  <cols>
    <col min="1" max="1" width="58" customWidth="1"/>
    <col min="2" max="2" width="13.5703125" customWidth="1"/>
    <col min="3" max="6" width="15.42578125" style="16" customWidth="1"/>
    <col min="7" max="7" width="39.28515625" customWidth="1"/>
    <col min="8" max="8" width="15.42578125" customWidth="1"/>
    <col min="9" max="12" width="15" customWidth="1"/>
    <col min="13" max="13" width="40.28515625" customWidth="1"/>
    <col min="14" max="14" width="11.85546875" customWidth="1"/>
    <col min="15" max="15" width="12" customWidth="1"/>
    <col min="16" max="16" width="10.42578125" customWidth="1"/>
    <col min="17" max="17" width="10" customWidth="1"/>
    <col min="18" max="18" width="18.85546875" customWidth="1"/>
    <col min="19" max="19" width="40.28515625" customWidth="1"/>
    <col min="20" max="20" width="11.85546875" customWidth="1"/>
    <col min="21" max="21" width="12" customWidth="1"/>
    <col min="22" max="22" width="10.42578125" customWidth="1"/>
    <col min="23" max="23" width="10" customWidth="1"/>
  </cols>
  <sheetData>
    <row r="1" spans="1:21" ht="21">
      <c r="H1" s="209" t="s">
        <v>16</v>
      </c>
      <c r="I1" s="209"/>
      <c r="J1" s="209"/>
      <c r="K1" s="25"/>
      <c r="L1" s="207"/>
      <c r="N1" s="210" t="s">
        <v>90</v>
      </c>
      <c r="O1" s="210"/>
      <c r="P1" s="210"/>
      <c r="Q1" s="210"/>
    </row>
    <row r="2" spans="1:21" ht="63">
      <c r="A2" s="9" t="s">
        <v>14</v>
      </c>
      <c r="B2" s="8" t="s">
        <v>15</v>
      </c>
      <c r="C2" s="18" t="s">
        <v>65</v>
      </c>
      <c r="D2" s="18" t="s">
        <v>83</v>
      </c>
      <c r="E2" s="18" t="s">
        <v>93</v>
      </c>
      <c r="F2" s="18" t="s">
        <v>253</v>
      </c>
      <c r="G2" s="9" t="s">
        <v>14</v>
      </c>
      <c r="H2" s="18" t="s">
        <v>88</v>
      </c>
      <c r="I2" s="18" t="s">
        <v>65</v>
      </c>
      <c r="J2" s="18" t="s">
        <v>83</v>
      </c>
      <c r="K2" s="18" t="s">
        <v>93</v>
      </c>
      <c r="L2" s="18" t="s">
        <v>253</v>
      </c>
      <c r="N2" t="s">
        <v>85</v>
      </c>
      <c r="O2" t="s">
        <v>84</v>
      </c>
      <c r="P2" t="s">
        <v>86</v>
      </c>
      <c r="Q2" t="s">
        <v>87</v>
      </c>
    </row>
    <row r="3" spans="1:21" ht="30">
      <c r="A3" s="9" t="s">
        <v>17</v>
      </c>
      <c r="B3" s="10">
        <v>3312251</v>
      </c>
      <c r="C3" s="10">
        <v>3046471</v>
      </c>
      <c r="D3" s="10">
        <v>2779631</v>
      </c>
      <c r="E3" s="10">
        <v>2522776</v>
      </c>
      <c r="F3" s="10">
        <v>2240832</v>
      </c>
      <c r="G3" s="20" t="s">
        <v>17</v>
      </c>
      <c r="H3" s="10">
        <v>1430237</v>
      </c>
      <c r="I3" s="10">
        <v>1256959</v>
      </c>
      <c r="J3" s="10">
        <v>1154478</v>
      </c>
      <c r="K3" s="10">
        <v>1138922</v>
      </c>
      <c r="L3" s="10">
        <v>889131</v>
      </c>
      <c r="M3" s="19" t="s">
        <v>72</v>
      </c>
      <c r="N3" s="16">
        <f>(500000/12)*4</f>
        <v>166666.66666666666</v>
      </c>
      <c r="O3" s="16">
        <f>(500000/12)*3</f>
        <v>125000</v>
      </c>
      <c r="P3" s="16">
        <f>(500000/12)*2</f>
        <v>83333.333333333328</v>
      </c>
      <c r="Q3" s="16">
        <f>(500000/12)</f>
        <v>41666.666666666664</v>
      </c>
    </row>
    <row r="4" spans="1:21" ht="15.75">
      <c r="A4" s="9" t="s">
        <v>94</v>
      </c>
      <c r="B4" s="10">
        <f>3089327-1857369</f>
        <v>1231958</v>
      </c>
      <c r="C4" s="10">
        <v>987197</v>
      </c>
      <c r="D4" s="10">
        <v>738435</v>
      </c>
      <c r="E4" s="10">
        <v>493673</v>
      </c>
      <c r="F4" s="10">
        <v>248912</v>
      </c>
      <c r="G4" s="20" t="s">
        <v>18</v>
      </c>
      <c r="H4" s="10">
        <v>1100000</v>
      </c>
      <c r="I4" s="10">
        <v>1100000</v>
      </c>
      <c r="J4" s="10">
        <v>1100000</v>
      </c>
      <c r="K4" s="10">
        <v>1100000</v>
      </c>
      <c r="L4" s="10">
        <v>1100000</v>
      </c>
      <c r="Q4" s="1"/>
    </row>
    <row r="5" spans="1:21" ht="15.75">
      <c r="A5" s="9" t="s">
        <v>19</v>
      </c>
      <c r="B5" s="10">
        <v>25391</v>
      </c>
      <c r="C5" s="10">
        <v>25900</v>
      </c>
      <c r="D5" s="10">
        <v>42447</v>
      </c>
      <c r="E5" s="10">
        <v>44133</v>
      </c>
      <c r="F5" s="10">
        <v>45725</v>
      </c>
      <c r="G5" s="20" t="s">
        <v>91</v>
      </c>
      <c r="H5" s="10">
        <v>450000</v>
      </c>
      <c r="I5" s="10">
        <v>450000</v>
      </c>
      <c r="J5" s="10">
        <v>450000</v>
      </c>
      <c r="K5" s="10">
        <v>450000</v>
      </c>
      <c r="L5" s="10">
        <v>740000</v>
      </c>
      <c r="Q5" s="1"/>
      <c r="S5" s="9"/>
      <c r="U5" s="16"/>
    </row>
    <row r="6" spans="1:21" ht="15.75">
      <c r="A6" s="9" t="s">
        <v>20</v>
      </c>
      <c r="B6" s="10">
        <v>172517</v>
      </c>
      <c r="C6" s="10">
        <v>168145</v>
      </c>
      <c r="D6" s="10">
        <v>186525</v>
      </c>
      <c r="E6" s="10">
        <v>200305</v>
      </c>
      <c r="F6" s="10">
        <v>239078</v>
      </c>
      <c r="G6" s="20" t="s">
        <v>89</v>
      </c>
      <c r="H6" s="10">
        <v>50000</v>
      </c>
      <c r="I6" s="10">
        <v>50000</v>
      </c>
      <c r="J6" s="10">
        <v>50000</v>
      </c>
      <c r="K6" s="10">
        <v>50000</v>
      </c>
      <c r="L6" s="10">
        <v>720000</v>
      </c>
      <c r="Q6" s="1"/>
      <c r="U6" s="16"/>
    </row>
    <row r="7" spans="1:21" ht="15.75">
      <c r="A7" s="9" t="s">
        <v>21</v>
      </c>
      <c r="B7" s="10">
        <f>B3-B4+B5-B6</f>
        <v>1933167</v>
      </c>
      <c r="C7" s="10">
        <f>C3-C4+C5-C6</f>
        <v>1917029</v>
      </c>
      <c r="D7" s="10">
        <f>D3-D4+D5-D6</f>
        <v>1897118</v>
      </c>
      <c r="E7" s="10">
        <f>E3-E4+E5-E6</f>
        <v>1872931</v>
      </c>
      <c r="F7" s="10">
        <f>F3-F4+F5-F6</f>
        <v>1798567</v>
      </c>
      <c r="G7" s="20"/>
      <c r="H7" s="10"/>
      <c r="Q7" s="1"/>
      <c r="U7" s="16"/>
    </row>
    <row r="8" spans="1:21" ht="15.75">
      <c r="A8" s="12" t="s">
        <v>22</v>
      </c>
      <c r="B8" s="10"/>
      <c r="C8" s="10"/>
      <c r="D8" s="10"/>
      <c r="E8" s="10"/>
      <c r="F8" s="10"/>
      <c r="G8" s="20"/>
      <c r="H8" s="10"/>
      <c r="Q8" s="1"/>
      <c r="U8" s="16"/>
    </row>
    <row r="9" spans="1:21" ht="15.75">
      <c r="B9" s="10"/>
      <c r="C9" s="10"/>
      <c r="D9" s="10"/>
      <c r="E9" s="10"/>
      <c r="F9" s="10"/>
      <c r="G9" s="20"/>
      <c r="H9" s="10"/>
      <c r="Q9" s="1"/>
      <c r="U9" s="16"/>
    </row>
    <row r="10" spans="1:21" ht="15.75">
      <c r="A10" t="s">
        <v>46</v>
      </c>
      <c r="B10" s="10">
        <v>500000</v>
      </c>
      <c r="C10" s="10">
        <v>500000</v>
      </c>
      <c r="D10" s="10">
        <v>500000</v>
      </c>
      <c r="E10" s="10">
        <v>500000</v>
      </c>
      <c r="F10" s="10">
        <v>500000</v>
      </c>
      <c r="G10" s="20"/>
      <c r="H10" s="10"/>
      <c r="Q10" s="1"/>
      <c r="U10" s="16"/>
    </row>
    <row r="11" spans="1:21" ht="15.75">
      <c r="A11" s="9" t="s">
        <v>47</v>
      </c>
      <c r="B11" s="10">
        <v>80000</v>
      </c>
      <c r="C11" s="10">
        <v>80000</v>
      </c>
      <c r="D11" s="10">
        <v>80000</v>
      </c>
      <c r="E11" s="10">
        <v>80000</v>
      </c>
      <c r="F11" s="10">
        <v>80000</v>
      </c>
      <c r="G11" s="20" t="s">
        <v>48</v>
      </c>
      <c r="H11" s="10">
        <f>H3-H4-H5-H6</f>
        <v>-169763</v>
      </c>
      <c r="I11" s="10">
        <f>I3-I4-I5-I6-N3</f>
        <v>-509707.66666666663</v>
      </c>
      <c r="J11" s="10">
        <f>J3-J4-J5-J6-O3</f>
        <v>-570522</v>
      </c>
      <c r="K11" s="10">
        <f>K3-K4-K5-K6-P3</f>
        <v>-544411.33333333337</v>
      </c>
      <c r="L11" s="10">
        <f>L3-L4-L5-L6-Q3</f>
        <v>-1712535.6666666667</v>
      </c>
      <c r="Q11" s="1"/>
      <c r="U11" s="16"/>
    </row>
    <row r="12" spans="1:21" ht="15.75">
      <c r="A12" s="9" t="s">
        <v>49</v>
      </c>
      <c r="B12" s="10">
        <f>222134-129642</f>
        <v>92492</v>
      </c>
      <c r="C12" s="10">
        <f>222134-129642</f>
        <v>92492</v>
      </c>
      <c r="D12" s="10">
        <f>222134-129642</f>
        <v>92492</v>
      </c>
      <c r="E12" s="10">
        <f>222134-129642</f>
        <v>92492</v>
      </c>
      <c r="F12" s="10">
        <f>222134-129642</f>
        <v>92492</v>
      </c>
      <c r="G12" s="9"/>
      <c r="H12" s="10"/>
      <c r="Q12" s="1"/>
      <c r="R12" s="1"/>
      <c r="U12" s="16"/>
    </row>
    <row r="13" spans="1:21" ht="45">
      <c r="A13" s="9" t="s">
        <v>23</v>
      </c>
      <c r="B13" s="10">
        <v>72000</v>
      </c>
      <c r="C13" s="10">
        <v>79009</v>
      </c>
      <c r="D13" s="10">
        <v>79009</v>
      </c>
      <c r="E13" s="10">
        <v>79009</v>
      </c>
      <c r="F13" s="10">
        <v>79009</v>
      </c>
      <c r="G13" s="6" t="s">
        <v>80</v>
      </c>
      <c r="H13" s="10"/>
      <c r="Q13" s="1"/>
      <c r="U13" s="16"/>
    </row>
    <row r="14" spans="1:21" ht="15.75">
      <c r="A14" s="9" t="s">
        <v>74</v>
      </c>
      <c r="B14" s="10">
        <f>220000-B36-B37</f>
        <v>145540</v>
      </c>
      <c r="C14" s="10">
        <f>220000-C36-C37</f>
        <v>145540</v>
      </c>
      <c r="D14" s="10">
        <f>220000-D36-D37</f>
        <v>145540</v>
      </c>
      <c r="E14" s="10">
        <f>220000-E36-E37</f>
        <v>145540</v>
      </c>
      <c r="F14" s="10">
        <f>220000-F36-F37</f>
        <v>145540</v>
      </c>
      <c r="G14" s="9"/>
      <c r="H14" s="10"/>
      <c r="Q14" s="1"/>
      <c r="U14" s="16"/>
    </row>
    <row r="15" spans="1:21" ht="15.75">
      <c r="A15" s="9" t="s">
        <v>66</v>
      </c>
      <c r="B15" s="10"/>
      <c r="C15" s="10">
        <v>15000</v>
      </c>
      <c r="D15" s="10">
        <v>15000</v>
      </c>
      <c r="E15" s="10">
        <v>15000</v>
      </c>
      <c r="F15" s="10">
        <v>15000</v>
      </c>
      <c r="G15" t="s">
        <v>67</v>
      </c>
      <c r="H15" s="10"/>
      <c r="Q15" s="1"/>
      <c r="U15" s="16"/>
    </row>
    <row r="16" spans="1:21" ht="15.75">
      <c r="A16" s="9" t="s">
        <v>68</v>
      </c>
      <c r="B16" s="10"/>
      <c r="C16" s="10">
        <v>25600</v>
      </c>
      <c r="D16" s="10">
        <v>25600</v>
      </c>
      <c r="E16" s="10">
        <v>25600</v>
      </c>
      <c r="F16" s="10">
        <v>25600</v>
      </c>
      <c r="G16" t="s">
        <v>67</v>
      </c>
      <c r="H16" s="10"/>
      <c r="Q16" s="1"/>
      <c r="U16" s="16"/>
    </row>
    <row r="17" spans="1:23" ht="15.75">
      <c r="A17" s="9" t="s">
        <v>69</v>
      </c>
      <c r="B17" s="10"/>
      <c r="C17" s="10">
        <v>15840</v>
      </c>
      <c r="D17" s="10">
        <v>15840</v>
      </c>
      <c r="E17" s="10">
        <v>15840</v>
      </c>
      <c r="F17" s="10">
        <v>15840</v>
      </c>
      <c r="G17" t="s">
        <v>67</v>
      </c>
      <c r="H17" s="10"/>
      <c r="Q17" s="1"/>
      <c r="U17" s="16"/>
    </row>
    <row r="18" spans="1:23" ht="15.75">
      <c r="A18" s="9" t="s">
        <v>70</v>
      </c>
      <c r="B18" s="10">
        <v>308129</v>
      </c>
      <c r="C18" s="10">
        <v>308129</v>
      </c>
      <c r="D18" s="10">
        <v>308129</v>
      </c>
      <c r="E18" s="10">
        <v>308129</v>
      </c>
      <c r="F18" s="10">
        <v>308129</v>
      </c>
      <c r="G18" s="9"/>
      <c r="H18" s="10"/>
      <c r="Q18" s="1"/>
      <c r="U18" s="16"/>
    </row>
    <row r="19" spans="1:23" ht="15.75">
      <c r="A19" t="s">
        <v>82</v>
      </c>
      <c r="B19" s="10"/>
      <c r="C19" s="10"/>
      <c r="D19" s="10"/>
      <c r="E19" s="10"/>
      <c r="F19" s="10"/>
      <c r="G19" s="9"/>
      <c r="H19" s="10"/>
      <c r="Q19" s="1"/>
      <c r="U19" s="16"/>
    </row>
    <row r="20" spans="1:23" ht="15.75">
      <c r="B20" s="10"/>
      <c r="C20" s="10"/>
      <c r="D20" s="10"/>
      <c r="E20" s="10"/>
      <c r="F20" s="10"/>
      <c r="G20" s="9"/>
      <c r="H20" s="10"/>
      <c r="Q20" s="1"/>
      <c r="U20" s="16"/>
    </row>
    <row r="21" spans="1:23" ht="46.5">
      <c r="A21" s="9" t="s">
        <v>92</v>
      </c>
      <c r="B21" s="10"/>
      <c r="C21" s="10"/>
      <c r="D21" s="10" t="e">
        <f>#REF!</f>
        <v>#REF!</v>
      </c>
      <c r="E21" s="10" t="e">
        <f>#REF!</f>
        <v>#REF!</v>
      </c>
      <c r="F21" s="10">
        <v>130655</v>
      </c>
      <c r="G21" s="24" t="s">
        <v>75</v>
      </c>
      <c r="H21" s="10"/>
      <c r="I21" s="6" t="s">
        <v>51</v>
      </c>
      <c r="J21" s="6"/>
      <c r="K21" s="6"/>
      <c r="L21" s="6"/>
      <c r="M21" s="24" t="s">
        <v>76</v>
      </c>
      <c r="N21" s="4" t="s">
        <v>5</v>
      </c>
      <c r="O21" s="6" t="s">
        <v>51</v>
      </c>
      <c r="P21" s="6" t="s">
        <v>79</v>
      </c>
      <c r="Q21" s="6" t="s">
        <v>51</v>
      </c>
      <c r="R21" s="13"/>
      <c r="S21" s="24" t="s">
        <v>95</v>
      </c>
      <c r="T21" s="4" t="s">
        <v>5</v>
      </c>
      <c r="U21" s="6" t="s">
        <v>51</v>
      </c>
      <c r="V21" s="6" t="s">
        <v>79</v>
      </c>
      <c r="W21" s="6" t="s">
        <v>51</v>
      </c>
    </row>
    <row r="22" spans="1:23" ht="15.75">
      <c r="A22" t="s">
        <v>52</v>
      </c>
      <c r="B22" s="10">
        <f>B7-SUM(B10:B14)+B18</f>
        <v>1351264</v>
      </c>
      <c r="C22" s="10">
        <f>C7-SUM(C10:C17)+C18</f>
        <v>1271677</v>
      </c>
      <c r="D22" s="10" t="e">
        <f>D7-SUM(D10:D17)+D18+D21</f>
        <v>#REF!</v>
      </c>
      <c r="E22" s="10" t="e">
        <f>E7-SUM(E10:E17)+E18+E21</f>
        <v>#REF!</v>
      </c>
      <c r="F22" s="10">
        <f>F7-SUM(F10:F17)+F18+F21</f>
        <v>1283870</v>
      </c>
      <c r="G22" s="22" t="s">
        <v>26</v>
      </c>
      <c r="H22" s="10">
        <v>5000</v>
      </c>
      <c r="I22" s="10"/>
      <c r="J22" s="10"/>
      <c r="K22" s="10"/>
      <c r="L22" s="10"/>
      <c r="M22" s="22" t="s">
        <v>26</v>
      </c>
      <c r="N22" s="23">
        <v>5000</v>
      </c>
      <c r="O22" s="23"/>
      <c r="Q22" s="1"/>
      <c r="R22" s="10"/>
      <c r="S22" s="22" t="s">
        <v>26</v>
      </c>
      <c r="T22" s="23">
        <v>5000</v>
      </c>
      <c r="U22" s="23"/>
      <c r="W22" s="1"/>
    </row>
    <row r="23" spans="1:23" ht="31.5">
      <c r="A23" s="15" t="s">
        <v>73</v>
      </c>
      <c r="B23" s="10">
        <f>H11+B47+H52</f>
        <v>-862093</v>
      </c>
      <c r="C23" s="10">
        <f>I11+C47+N52</f>
        <v>-1179830.6666666665</v>
      </c>
      <c r="D23" s="10">
        <f>J11+D47+N52</f>
        <v>-1240284</v>
      </c>
      <c r="E23" s="10">
        <f>K11+E47+T52</f>
        <v>-1395041.3333333335</v>
      </c>
      <c r="F23" s="10">
        <f>L11+F47+U52</f>
        <v>-2077095.6666666667</v>
      </c>
      <c r="G23" s="21" t="s">
        <v>3</v>
      </c>
      <c r="H23" s="10">
        <v>30000</v>
      </c>
      <c r="I23" s="10"/>
      <c r="J23" s="10"/>
      <c r="K23" s="10"/>
      <c r="L23" s="10"/>
      <c r="M23" s="22" t="s">
        <v>3</v>
      </c>
      <c r="N23" s="23">
        <v>30000</v>
      </c>
      <c r="O23" s="23"/>
      <c r="Q23" s="1"/>
      <c r="R23" s="10"/>
      <c r="S23" s="22" t="s">
        <v>3</v>
      </c>
      <c r="T23" s="23">
        <v>30000</v>
      </c>
      <c r="U23" s="23"/>
      <c r="W23" s="1"/>
    </row>
    <row r="24" spans="1:23" ht="15.75">
      <c r="A24" s="9" t="s">
        <v>71</v>
      </c>
      <c r="B24" s="10">
        <f>B22+B23</f>
        <v>489171</v>
      </c>
      <c r="C24" s="10">
        <f>C22+C23</f>
        <v>91846.333333333489</v>
      </c>
      <c r="D24" s="10" t="e">
        <f>D22+D23</f>
        <v>#REF!</v>
      </c>
      <c r="E24" s="10" t="e">
        <f>E22+E23</f>
        <v>#REF!</v>
      </c>
      <c r="F24" s="10">
        <f>F22+F23</f>
        <v>-793225.66666666674</v>
      </c>
      <c r="G24" s="20" t="s">
        <v>78</v>
      </c>
      <c r="H24" s="10">
        <v>35000</v>
      </c>
      <c r="I24" s="10">
        <v>22000</v>
      </c>
      <c r="J24" s="10"/>
      <c r="K24" s="10"/>
      <c r="L24" s="10"/>
      <c r="M24" s="22" t="s">
        <v>78</v>
      </c>
      <c r="N24" s="23">
        <v>35000</v>
      </c>
      <c r="O24" s="23">
        <v>22000</v>
      </c>
      <c r="P24" s="1">
        <f>N24</f>
        <v>35000</v>
      </c>
      <c r="Q24" s="1">
        <f>O24</f>
        <v>22000</v>
      </c>
      <c r="R24" s="9"/>
      <c r="S24" s="22" t="s">
        <v>78</v>
      </c>
      <c r="T24" s="23">
        <v>35000</v>
      </c>
      <c r="U24" s="23">
        <v>22000</v>
      </c>
      <c r="V24" s="1">
        <f>T24</f>
        <v>35000</v>
      </c>
      <c r="W24" s="1">
        <f>U24</f>
        <v>22000</v>
      </c>
    </row>
    <row r="25" spans="1:23" ht="15.75">
      <c r="C25" s="10"/>
      <c r="D25" s="10"/>
      <c r="E25" s="10"/>
      <c r="F25" s="10"/>
      <c r="G25" s="20" t="s">
        <v>29</v>
      </c>
      <c r="H25" s="10">
        <v>170000</v>
      </c>
      <c r="I25" s="10">
        <v>175644</v>
      </c>
      <c r="J25" s="10"/>
      <c r="K25" s="10"/>
      <c r="L25" s="10"/>
      <c r="M25" s="22" t="s">
        <v>29</v>
      </c>
      <c r="N25" s="23">
        <v>170000</v>
      </c>
      <c r="O25" s="23">
        <v>175644</v>
      </c>
      <c r="P25" s="1">
        <f>N25</f>
        <v>170000</v>
      </c>
      <c r="Q25" s="1">
        <f>O25</f>
        <v>175644</v>
      </c>
      <c r="R25" s="9"/>
      <c r="S25" s="22" t="s">
        <v>29</v>
      </c>
      <c r="T25" s="23">
        <v>170000</v>
      </c>
      <c r="U25" s="23">
        <v>175644</v>
      </c>
      <c r="V25" s="1">
        <f>T25</f>
        <v>170000</v>
      </c>
      <c r="W25" s="1">
        <f>U25</f>
        <v>175644</v>
      </c>
    </row>
    <row r="26" spans="1:23" ht="15.75">
      <c r="A26" s="9" t="s">
        <v>2</v>
      </c>
      <c r="B26" s="10" t="s">
        <v>53</v>
      </c>
      <c r="C26" s="10"/>
      <c r="D26" s="10"/>
      <c r="E26" s="10"/>
      <c r="F26" s="10"/>
      <c r="G26" s="20" t="s">
        <v>54</v>
      </c>
      <c r="H26" s="10">
        <v>170000</v>
      </c>
      <c r="I26" s="10">
        <v>197804</v>
      </c>
      <c r="J26" s="10"/>
      <c r="K26" s="10"/>
      <c r="L26" s="10"/>
      <c r="M26" s="22" t="s">
        <v>54</v>
      </c>
      <c r="N26" s="23">
        <v>170000</v>
      </c>
      <c r="O26" s="23">
        <v>197804</v>
      </c>
      <c r="Q26" s="1"/>
      <c r="R26" s="9"/>
      <c r="S26" s="22" t="s">
        <v>54</v>
      </c>
      <c r="T26" s="23">
        <v>170000</v>
      </c>
      <c r="U26" s="23">
        <v>197804</v>
      </c>
      <c r="W26" s="1"/>
    </row>
    <row r="27" spans="1:23" ht="15.75">
      <c r="A27" s="9"/>
      <c r="B27" s="10"/>
      <c r="C27" s="10"/>
      <c r="D27" s="10"/>
      <c r="E27" s="10"/>
      <c r="F27" s="10"/>
      <c r="G27" s="20" t="s">
        <v>31</v>
      </c>
      <c r="H27" s="10">
        <v>22000</v>
      </c>
      <c r="I27" s="10">
        <v>7000</v>
      </c>
      <c r="J27" s="10"/>
      <c r="K27" s="10"/>
      <c r="L27" s="10"/>
      <c r="M27" s="22" t="s">
        <v>31</v>
      </c>
      <c r="N27" s="23">
        <v>22000</v>
      </c>
      <c r="O27" s="23">
        <v>7000</v>
      </c>
      <c r="P27" s="1">
        <f>N27</f>
        <v>22000</v>
      </c>
      <c r="Q27" s="1">
        <f>O27</f>
        <v>7000</v>
      </c>
      <c r="R27" s="9"/>
      <c r="S27" s="22" t="s">
        <v>31</v>
      </c>
      <c r="T27" s="23">
        <v>22000</v>
      </c>
      <c r="U27" s="23">
        <v>7000</v>
      </c>
      <c r="V27" s="1">
        <f>T27</f>
        <v>22000</v>
      </c>
      <c r="W27" s="1">
        <f>U27</f>
        <v>7000</v>
      </c>
    </row>
    <row r="28" spans="1:23" ht="15.75">
      <c r="A28" s="9"/>
      <c r="B28" s="11"/>
      <c r="C28" s="10"/>
      <c r="D28" s="10"/>
      <c r="E28" s="10"/>
      <c r="F28" s="10"/>
      <c r="G28" s="20" t="s">
        <v>33</v>
      </c>
      <c r="H28" s="10">
        <v>17000</v>
      </c>
      <c r="I28" s="10">
        <v>10200</v>
      </c>
      <c r="J28" s="10"/>
      <c r="K28" s="10"/>
      <c r="L28" s="10"/>
      <c r="M28" s="22" t="s">
        <v>33</v>
      </c>
      <c r="N28" s="23">
        <v>17000</v>
      </c>
      <c r="O28" s="23">
        <v>10200</v>
      </c>
      <c r="R28" s="9"/>
      <c r="S28" s="22" t="s">
        <v>33</v>
      </c>
      <c r="T28" s="23">
        <v>17000</v>
      </c>
      <c r="U28" s="23">
        <v>10200</v>
      </c>
    </row>
    <row r="29" spans="1:23" ht="42">
      <c r="A29" s="7" t="s">
        <v>14</v>
      </c>
      <c r="B29" s="8" t="s">
        <v>24</v>
      </c>
      <c r="C29" s="10"/>
      <c r="D29" s="10"/>
      <c r="E29" s="10"/>
      <c r="F29" s="10"/>
      <c r="G29" s="20" t="s">
        <v>0</v>
      </c>
      <c r="H29" s="10">
        <v>50000</v>
      </c>
      <c r="I29" s="10"/>
      <c r="J29" s="10"/>
      <c r="K29" s="10"/>
      <c r="L29" s="10"/>
      <c r="M29" s="22" t="s">
        <v>0</v>
      </c>
      <c r="N29" s="23">
        <v>50000</v>
      </c>
      <c r="O29" s="23"/>
      <c r="R29" s="9"/>
      <c r="S29" s="22" t="s">
        <v>0</v>
      </c>
      <c r="T29" s="23">
        <v>50000</v>
      </c>
      <c r="U29" s="23"/>
    </row>
    <row r="30" spans="1:23" ht="15.75">
      <c r="A30" s="9" t="s">
        <v>17</v>
      </c>
      <c r="B30" s="10">
        <v>1219222</v>
      </c>
      <c r="C30" s="10">
        <v>1219429</v>
      </c>
      <c r="D30" s="10">
        <v>1219790</v>
      </c>
      <c r="E30" s="10">
        <v>1038922</v>
      </c>
      <c r="F30" s="10">
        <v>985160</v>
      </c>
      <c r="G30" s="20" t="s">
        <v>35</v>
      </c>
      <c r="H30" s="10">
        <v>45000</v>
      </c>
      <c r="I30" s="10" t="s">
        <v>55</v>
      </c>
      <c r="J30" s="10"/>
      <c r="K30" s="10"/>
      <c r="L30" s="10"/>
      <c r="M30" s="22" t="s">
        <v>35</v>
      </c>
      <c r="N30" s="23">
        <v>45000</v>
      </c>
      <c r="O30" s="23" t="s">
        <v>55</v>
      </c>
      <c r="R30" s="9"/>
      <c r="S30" s="22" t="s">
        <v>35</v>
      </c>
      <c r="T30" s="23">
        <v>45000</v>
      </c>
      <c r="U30" s="23" t="s">
        <v>55</v>
      </c>
    </row>
    <row r="31" spans="1:23" ht="15.75">
      <c r="A31" s="9" t="s">
        <v>25</v>
      </c>
      <c r="B31" s="10">
        <v>315200</v>
      </c>
      <c r="C31" s="10">
        <v>315200</v>
      </c>
      <c r="D31" s="10">
        <v>315200</v>
      </c>
      <c r="E31" s="10">
        <v>315200</v>
      </c>
      <c r="F31" s="10">
        <v>315200</v>
      </c>
      <c r="G31" s="20" t="s">
        <v>56</v>
      </c>
      <c r="H31" s="10">
        <v>35000</v>
      </c>
      <c r="I31" s="10"/>
      <c r="J31" s="10"/>
      <c r="K31" s="10"/>
      <c r="L31" s="10"/>
      <c r="M31" s="22" t="s">
        <v>56</v>
      </c>
      <c r="N31" s="23">
        <v>35000</v>
      </c>
      <c r="O31" s="23"/>
      <c r="R31" s="9"/>
      <c r="S31" s="22" t="s">
        <v>56</v>
      </c>
      <c r="T31" s="23">
        <v>35000</v>
      </c>
      <c r="U31" s="23"/>
    </row>
    <row r="32" spans="1:23" ht="15.75">
      <c r="A32" s="9" t="s">
        <v>1</v>
      </c>
      <c r="B32" s="10">
        <f>B30+B31</f>
        <v>1534422</v>
      </c>
      <c r="C32" s="10">
        <f>C30+C31</f>
        <v>1534629</v>
      </c>
      <c r="D32" s="10">
        <f>D30+D31</f>
        <v>1534990</v>
      </c>
      <c r="E32" s="10">
        <f>E30+E31</f>
        <v>1354122</v>
      </c>
      <c r="F32" s="10">
        <f>F30+F31</f>
        <v>1300360</v>
      </c>
      <c r="G32" s="20" t="s">
        <v>30</v>
      </c>
      <c r="H32" s="10">
        <v>200000</v>
      </c>
      <c r="I32" s="10">
        <v>40800</v>
      </c>
      <c r="J32" s="10"/>
      <c r="K32" s="10"/>
      <c r="L32" s="10"/>
      <c r="M32" s="22" t="s">
        <v>30</v>
      </c>
      <c r="N32" s="23">
        <v>20000</v>
      </c>
      <c r="O32" s="23">
        <v>40800</v>
      </c>
      <c r="P32" s="1">
        <f>N32</f>
        <v>20000</v>
      </c>
      <c r="Q32" s="1">
        <f>O32</f>
        <v>40800</v>
      </c>
      <c r="R32" s="9"/>
      <c r="S32" s="22" t="s">
        <v>30</v>
      </c>
      <c r="T32" s="23">
        <v>20000</v>
      </c>
      <c r="U32" s="23">
        <v>40800</v>
      </c>
      <c r="V32" s="1">
        <f>T32</f>
        <v>20000</v>
      </c>
      <c r="W32" s="1">
        <f>U32</f>
        <v>40800</v>
      </c>
    </row>
    <row r="33" spans="1:23" ht="15.75">
      <c r="A33" s="9" t="s">
        <v>27</v>
      </c>
      <c r="B33" s="10"/>
      <c r="C33" s="10"/>
      <c r="D33" s="10"/>
      <c r="E33" s="10"/>
      <c r="F33" s="10"/>
      <c r="G33" s="20" t="s">
        <v>6</v>
      </c>
      <c r="H33" s="10">
        <v>45000</v>
      </c>
      <c r="I33" s="10"/>
      <c r="J33" s="10"/>
      <c r="K33" s="10"/>
      <c r="L33" s="10"/>
      <c r="M33" s="22" t="s">
        <v>6</v>
      </c>
      <c r="N33" s="23">
        <v>45000</v>
      </c>
      <c r="O33" s="23"/>
      <c r="R33" s="9"/>
      <c r="S33" s="22" t="s">
        <v>6</v>
      </c>
      <c r="T33" s="23">
        <v>45000</v>
      </c>
      <c r="U33" s="23"/>
    </row>
    <row r="34" spans="1:23" ht="15.75">
      <c r="A34" s="9" t="s">
        <v>29</v>
      </c>
      <c r="B34" s="10">
        <v>175644</v>
      </c>
      <c r="C34" s="10">
        <v>175644</v>
      </c>
      <c r="D34" s="10">
        <v>175644</v>
      </c>
      <c r="E34" s="10">
        <v>175644</v>
      </c>
      <c r="F34" s="10">
        <v>175644</v>
      </c>
      <c r="G34" s="20" t="s">
        <v>57</v>
      </c>
      <c r="H34" s="10">
        <v>25000</v>
      </c>
      <c r="I34" s="10">
        <v>20612</v>
      </c>
      <c r="J34" s="10"/>
      <c r="K34" s="10"/>
      <c r="L34" s="10"/>
      <c r="M34" s="22" t="s">
        <v>57</v>
      </c>
      <c r="N34" s="23">
        <v>25000</v>
      </c>
      <c r="O34" s="23">
        <v>20612</v>
      </c>
      <c r="P34" s="1">
        <f>N34</f>
        <v>25000</v>
      </c>
      <c r="Q34" s="1">
        <f>O34</f>
        <v>20612</v>
      </c>
      <c r="R34" s="9"/>
      <c r="S34" s="22" t="s">
        <v>57</v>
      </c>
      <c r="T34" s="23">
        <v>25000</v>
      </c>
      <c r="U34" s="23">
        <v>20612</v>
      </c>
      <c r="V34" s="1">
        <f>T34</f>
        <v>25000</v>
      </c>
      <c r="W34" s="1">
        <f>U34</f>
        <v>20612</v>
      </c>
    </row>
    <row r="35" spans="1:23" ht="15.75">
      <c r="A35" s="9" t="s">
        <v>30</v>
      </c>
      <c r="B35" s="10">
        <v>40800</v>
      </c>
      <c r="C35" s="10">
        <v>40800</v>
      </c>
      <c r="D35" s="10">
        <v>40800</v>
      </c>
      <c r="E35" s="10">
        <v>40800</v>
      </c>
      <c r="F35" s="10">
        <v>40800</v>
      </c>
      <c r="G35" s="20" t="s">
        <v>58</v>
      </c>
      <c r="H35" s="10">
        <v>2500</v>
      </c>
      <c r="I35" s="10">
        <v>2500</v>
      </c>
      <c r="J35" s="10"/>
      <c r="K35" s="10"/>
      <c r="L35" s="10"/>
      <c r="M35" s="22" t="s">
        <v>58</v>
      </c>
      <c r="N35" s="23">
        <v>2500</v>
      </c>
      <c r="O35" s="23">
        <v>2500</v>
      </c>
      <c r="P35" s="1">
        <f>N35</f>
        <v>2500</v>
      </c>
      <c r="Q35" s="1">
        <f>O35</f>
        <v>2500</v>
      </c>
      <c r="R35" s="9"/>
      <c r="S35" s="22" t="s">
        <v>58</v>
      </c>
      <c r="T35" s="23">
        <v>2500</v>
      </c>
      <c r="U35" s="23">
        <v>2500</v>
      </c>
      <c r="V35" s="1">
        <f>T35</f>
        <v>2500</v>
      </c>
      <c r="W35" s="1">
        <f>U35</f>
        <v>2500</v>
      </c>
    </row>
    <row r="36" spans="1:23" ht="15.75">
      <c r="A36" s="9" t="s">
        <v>32</v>
      </c>
      <c r="B36" s="10">
        <v>23460</v>
      </c>
      <c r="C36" s="10">
        <v>23460</v>
      </c>
      <c r="D36" s="10">
        <v>23460</v>
      </c>
      <c r="E36" s="10">
        <v>23460</v>
      </c>
      <c r="F36" s="10">
        <v>23460</v>
      </c>
      <c r="G36" s="3" t="s">
        <v>9</v>
      </c>
      <c r="H36" s="10">
        <v>25000</v>
      </c>
      <c r="I36" s="10"/>
      <c r="J36" s="10"/>
      <c r="K36" s="10"/>
      <c r="L36" s="10"/>
      <c r="M36" s="22" t="s">
        <v>9</v>
      </c>
      <c r="N36" s="23">
        <v>25000</v>
      </c>
      <c r="O36" s="23"/>
      <c r="R36" s="9"/>
      <c r="S36" s="22" t="s">
        <v>9</v>
      </c>
      <c r="T36" s="23">
        <v>25000</v>
      </c>
      <c r="U36" s="23"/>
    </row>
    <row r="37" spans="1:23" ht="15.75">
      <c r="A37" s="9" t="s">
        <v>34</v>
      </c>
      <c r="B37" s="10">
        <v>51000</v>
      </c>
      <c r="C37" s="10">
        <v>51000</v>
      </c>
      <c r="D37" s="10">
        <v>51000</v>
      </c>
      <c r="E37" s="10">
        <v>51000</v>
      </c>
      <c r="F37" s="10">
        <v>51000</v>
      </c>
      <c r="G37" s="3" t="s">
        <v>8</v>
      </c>
      <c r="H37" s="10">
        <v>25000</v>
      </c>
      <c r="M37" s="22" t="s">
        <v>8</v>
      </c>
      <c r="N37" s="23">
        <v>25000</v>
      </c>
      <c r="O37" s="23"/>
      <c r="R37" s="9"/>
      <c r="S37" s="22" t="s">
        <v>8</v>
      </c>
      <c r="T37" s="23">
        <v>25000</v>
      </c>
      <c r="U37" s="23"/>
    </row>
    <row r="38" spans="1:23" ht="15.75">
      <c r="A38" s="9" t="s">
        <v>28</v>
      </c>
      <c r="B38" s="10">
        <v>21848</v>
      </c>
      <c r="C38" s="10">
        <v>21848</v>
      </c>
      <c r="D38" s="10">
        <v>21848</v>
      </c>
      <c r="E38" s="10">
        <v>21848</v>
      </c>
      <c r="F38" s="10">
        <v>21848</v>
      </c>
      <c r="G38" s="3" t="s">
        <v>7</v>
      </c>
      <c r="H38" s="10">
        <v>25000</v>
      </c>
      <c r="M38" s="22" t="s">
        <v>7</v>
      </c>
      <c r="N38" s="23">
        <v>25000</v>
      </c>
      <c r="O38" s="23"/>
      <c r="R38" s="9"/>
      <c r="S38" s="22" t="s">
        <v>7</v>
      </c>
      <c r="T38" s="23">
        <v>25000</v>
      </c>
      <c r="U38" s="23"/>
    </row>
    <row r="39" spans="1:23" ht="15.75">
      <c r="A39" s="9" t="s">
        <v>36</v>
      </c>
      <c r="B39" s="10">
        <v>129642</v>
      </c>
      <c r="C39" s="10">
        <v>129642</v>
      </c>
      <c r="D39" s="10">
        <v>129642</v>
      </c>
      <c r="E39" s="10">
        <v>129642</v>
      </c>
      <c r="F39" s="10">
        <v>129642</v>
      </c>
      <c r="G39" s="3" t="s">
        <v>10</v>
      </c>
      <c r="H39" s="10">
        <v>25000</v>
      </c>
      <c r="I39" s="10"/>
      <c r="J39" s="10"/>
      <c r="K39" s="10"/>
      <c r="L39" s="10"/>
      <c r="M39" s="22" t="s">
        <v>10</v>
      </c>
      <c r="N39" s="23">
        <v>25000</v>
      </c>
      <c r="O39" s="23"/>
      <c r="R39" s="9"/>
      <c r="S39" s="22" t="s">
        <v>10</v>
      </c>
      <c r="T39" s="23">
        <v>25000</v>
      </c>
      <c r="U39" s="23"/>
    </row>
    <row r="40" spans="1:23" ht="15.75">
      <c r="A40" s="9" t="s">
        <v>37</v>
      </c>
      <c r="B40" s="10">
        <v>2500</v>
      </c>
      <c r="C40" s="10">
        <v>2500</v>
      </c>
      <c r="D40" s="10">
        <v>2500</v>
      </c>
      <c r="E40" s="10">
        <v>2500</v>
      </c>
      <c r="F40" s="10">
        <v>2500</v>
      </c>
      <c r="G40" s="20" t="s">
        <v>59</v>
      </c>
      <c r="H40" s="10">
        <v>90000</v>
      </c>
      <c r="I40" s="10">
        <v>123878</v>
      </c>
      <c r="J40" s="10"/>
      <c r="K40" s="10"/>
      <c r="L40" s="10"/>
      <c r="M40" s="22" t="s">
        <v>59</v>
      </c>
      <c r="N40" s="23">
        <v>90000</v>
      </c>
      <c r="O40" s="23">
        <v>123878</v>
      </c>
      <c r="R40" s="9"/>
      <c r="S40" s="22" t="s">
        <v>59</v>
      </c>
      <c r="T40" s="23">
        <v>90000</v>
      </c>
      <c r="U40" s="23">
        <v>123878</v>
      </c>
    </row>
    <row r="41" spans="1:23" ht="15.75">
      <c r="A41" s="9" t="s">
        <v>39</v>
      </c>
      <c r="B41" s="10">
        <v>15606</v>
      </c>
      <c r="C41" s="10">
        <v>15606</v>
      </c>
      <c r="D41" s="10">
        <v>15606</v>
      </c>
      <c r="E41" s="10">
        <v>15606</v>
      </c>
      <c r="F41" s="10">
        <v>15606</v>
      </c>
      <c r="G41" s="20" t="s">
        <v>60</v>
      </c>
      <c r="H41" s="10">
        <v>10000</v>
      </c>
      <c r="I41" s="10">
        <v>11730</v>
      </c>
      <c r="J41" s="10"/>
      <c r="K41" s="10"/>
      <c r="L41" s="10"/>
      <c r="M41" s="22" t="s">
        <v>60</v>
      </c>
      <c r="N41" s="23">
        <v>10000</v>
      </c>
      <c r="O41" s="23">
        <v>11730</v>
      </c>
      <c r="P41" s="1">
        <f>N41</f>
        <v>10000</v>
      </c>
      <c r="Q41" s="1">
        <f>O41</f>
        <v>11730</v>
      </c>
      <c r="R41" s="9"/>
      <c r="S41" s="22" t="s">
        <v>60</v>
      </c>
      <c r="T41" s="23">
        <v>10000</v>
      </c>
      <c r="U41" s="23">
        <v>11730</v>
      </c>
      <c r="V41" s="1">
        <f>T41</f>
        <v>10000</v>
      </c>
      <c r="W41" s="1">
        <f>U41</f>
        <v>11730</v>
      </c>
    </row>
    <row r="42" spans="1:23" ht="15.75">
      <c r="A42" s="9" t="s">
        <v>40</v>
      </c>
      <c r="B42" s="10">
        <v>10200</v>
      </c>
      <c r="C42" s="10">
        <v>10200</v>
      </c>
      <c r="D42" s="10">
        <v>10200</v>
      </c>
      <c r="E42" s="10">
        <v>10200</v>
      </c>
      <c r="F42" s="10">
        <v>10200</v>
      </c>
      <c r="G42" s="20" t="s">
        <v>61</v>
      </c>
      <c r="H42" s="10">
        <v>37500</v>
      </c>
      <c r="I42" s="10"/>
      <c r="J42" s="10"/>
      <c r="K42" s="10"/>
      <c r="L42" s="10"/>
      <c r="M42" s="22" t="s">
        <v>61</v>
      </c>
      <c r="N42" s="23">
        <v>37500</v>
      </c>
      <c r="O42" s="23"/>
      <c r="R42" s="9"/>
      <c r="S42" s="22" t="s">
        <v>61</v>
      </c>
      <c r="T42" s="23">
        <v>37500</v>
      </c>
      <c r="U42" s="23"/>
    </row>
    <row r="43" spans="1:23" ht="15.75">
      <c r="A43" s="9" t="s">
        <v>38</v>
      </c>
      <c r="B43" s="10">
        <v>11730</v>
      </c>
      <c r="C43" s="10">
        <v>11730</v>
      </c>
      <c r="D43" s="10">
        <v>11730</v>
      </c>
      <c r="E43" s="10">
        <v>11730</v>
      </c>
      <c r="F43" s="10">
        <v>11730</v>
      </c>
      <c r="G43" s="20" t="s">
        <v>62</v>
      </c>
      <c r="H43" s="10">
        <v>10000</v>
      </c>
      <c r="I43" s="10"/>
      <c r="J43" s="10"/>
      <c r="K43" s="10"/>
      <c r="L43" s="10"/>
      <c r="M43" s="22" t="s">
        <v>62</v>
      </c>
      <c r="N43" s="23">
        <v>10000</v>
      </c>
      <c r="O43" s="23"/>
      <c r="R43" s="9"/>
      <c r="S43" s="22" t="s">
        <v>62</v>
      </c>
      <c r="T43" s="23">
        <v>10000</v>
      </c>
      <c r="U43" s="23"/>
    </row>
    <row r="44" spans="1:23" ht="15.75">
      <c r="A44" s="9" t="s">
        <v>81</v>
      </c>
      <c r="B44" s="10">
        <v>123878</v>
      </c>
      <c r="C44" s="10">
        <v>123878</v>
      </c>
      <c r="D44" s="10">
        <v>123878</v>
      </c>
      <c r="E44" s="10">
        <v>123878</v>
      </c>
      <c r="F44" s="10">
        <v>123878</v>
      </c>
      <c r="G44" s="20" t="s">
        <v>63</v>
      </c>
      <c r="H44" s="10">
        <v>37500</v>
      </c>
      <c r="I44" s="10"/>
      <c r="J44" s="10"/>
      <c r="K44" s="10"/>
      <c r="L44" s="10"/>
      <c r="M44" s="22" t="s">
        <v>63</v>
      </c>
      <c r="N44" s="23">
        <v>37500</v>
      </c>
      <c r="O44" s="23"/>
      <c r="R44" s="9"/>
      <c r="S44" s="22" t="s">
        <v>63</v>
      </c>
      <c r="T44" s="23">
        <v>37500</v>
      </c>
      <c r="U44" s="23"/>
    </row>
    <row r="45" spans="1:23" ht="15.75">
      <c r="A45" s="9" t="s">
        <v>41</v>
      </c>
      <c r="B45" s="10">
        <f>B32-B34-B35-B36-B37-B38-B39-B40-B41-B42-B43</f>
        <v>1051992</v>
      </c>
      <c r="C45" s="10">
        <f>C32-C34-C35-C36-C37-C38-C39-C40-C41-C42-C43</f>
        <v>1052199</v>
      </c>
      <c r="D45" s="10">
        <f>D32-D34-D35-D36-D37-D38-D39-D40-D41-D42-D43</f>
        <v>1052560</v>
      </c>
      <c r="E45" s="10">
        <f>E32-E34-E35-E36-E37-E38-E39-E40-E41-E42-E43</f>
        <v>871692</v>
      </c>
      <c r="F45" s="10">
        <f>F32-F34-F35-F36-F37-F38-F39-F40-F41-F42-F43</f>
        <v>817930</v>
      </c>
      <c r="G45" s="20" t="s">
        <v>64</v>
      </c>
      <c r="H45" s="10">
        <v>37500</v>
      </c>
      <c r="I45" s="10"/>
      <c r="J45" s="10"/>
      <c r="K45" s="10"/>
      <c r="L45" s="10"/>
      <c r="M45" s="22" t="s">
        <v>64</v>
      </c>
      <c r="N45" s="23">
        <v>37500</v>
      </c>
      <c r="O45" s="23"/>
      <c r="R45" s="9"/>
      <c r="S45" s="22" t="s">
        <v>64</v>
      </c>
      <c r="T45" s="23">
        <v>37500</v>
      </c>
      <c r="U45" s="23"/>
    </row>
    <row r="46" spans="1:23" ht="15.75">
      <c r="A46" s="9" t="s">
        <v>42</v>
      </c>
      <c r="B46" s="10">
        <v>1182490</v>
      </c>
      <c r="C46" s="10">
        <v>1182490</v>
      </c>
      <c r="D46" s="10">
        <v>1182490</v>
      </c>
      <c r="E46" s="10">
        <v>1182490</v>
      </c>
      <c r="F46" s="10">
        <v>1182490</v>
      </c>
      <c r="G46" s="20"/>
      <c r="H46" s="10"/>
      <c r="I46" s="10"/>
      <c r="J46" s="10"/>
      <c r="K46" s="10"/>
      <c r="L46" s="10"/>
      <c r="M46" s="22" t="s">
        <v>13</v>
      </c>
      <c r="N46" s="23">
        <v>5000</v>
      </c>
      <c r="O46" s="23"/>
      <c r="R46" s="2"/>
      <c r="S46" s="22" t="s">
        <v>13</v>
      </c>
      <c r="T46" s="23">
        <v>5000</v>
      </c>
      <c r="U46" s="23"/>
    </row>
    <row r="47" spans="1:23" ht="15.75">
      <c r="A47" s="9" t="s">
        <v>43</v>
      </c>
      <c r="B47" s="10">
        <f>B45-B46</f>
        <v>-130498</v>
      </c>
      <c r="C47" s="10">
        <f>C45-C46</f>
        <v>-130291</v>
      </c>
      <c r="D47" s="10">
        <f>D45-D46</f>
        <v>-129930</v>
      </c>
      <c r="E47" s="10">
        <f>E45-E46</f>
        <v>-310798</v>
      </c>
      <c r="F47" s="10">
        <f>F45-F46</f>
        <v>-364560</v>
      </c>
      <c r="G47" s="20"/>
      <c r="H47" s="10"/>
      <c r="I47" s="10"/>
      <c r="J47" s="10"/>
      <c r="K47" s="10"/>
      <c r="L47" s="10"/>
      <c r="M47" s="22" t="s">
        <v>12</v>
      </c>
      <c r="N47" s="23">
        <v>8000</v>
      </c>
      <c r="O47" s="23"/>
      <c r="S47" s="22" t="s">
        <v>12</v>
      </c>
      <c r="T47" s="23">
        <v>8000</v>
      </c>
      <c r="U47" s="23"/>
    </row>
    <row r="48" spans="1:23" ht="15.75">
      <c r="A48" t="s">
        <v>50</v>
      </c>
      <c r="C48" s="17"/>
      <c r="D48" s="17"/>
      <c r="E48" s="17"/>
      <c r="F48" s="17"/>
      <c r="G48" s="20"/>
      <c r="H48" s="10"/>
      <c r="I48" s="10"/>
      <c r="J48" s="10"/>
      <c r="K48" s="10"/>
      <c r="L48" s="10"/>
      <c r="M48" s="22" t="s">
        <v>11</v>
      </c>
      <c r="N48" s="23">
        <v>20000</v>
      </c>
      <c r="O48" s="23"/>
      <c r="S48" s="22" t="s">
        <v>11</v>
      </c>
      <c r="T48" s="23">
        <v>20000</v>
      </c>
      <c r="U48" s="23"/>
    </row>
    <row r="49" spans="1:23" ht="15.75">
      <c r="A49" t="s">
        <v>77</v>
      </c>
      <c r="C49" s="17"/>
      <c r="D49" s="17"/>
      <c r="E49" s="17"/>
      <c r="F49" s="17"/>
      <c r="G49" s="20"/>
      <c r="H49" s="10"/>
      <c r="I49" s="10"/>
      <c r="J49" s="10"/>
      <c r="K49" s="10"/>
      <c r="L49" s="10"/>
      <c r="M49" s="22" t="s">
        <v>4</v>
      </c>
      <c r="N49" s="23">
        <v>125000</v>
      </c>
      <c r="O49" s="23"/>
      <c r="S49" s="22" t="s">
        <v>4</v>
      </c>
      <c r="T49" s="23">
        <v>125000</v>
      </c>
      <c r="U49" s="23"/>
    </row>
    <row r="50" spans="1:23" ht="15.75">
      <c r="B50" s="1"/>
      <c r="C50" s="17"/>
      <c r="D50" s="17"/>
      <c r="E50" s="17"/>
      <c r="F50" s="17"/>
      <c r="G50" s="20" t="s">
        <v>44</v>
      </c>
      <c r="H50" s="10">
        <f>SUM(H22:H45)</f>
        <v>1174000</v>
      </c>
      <c r="I50" s="10"/>
      <c r="J50" s="10"/>
      <c r="K50" s="10"/>
      <c r="L50" s="10"/>
      <c r="M50" s="22" t="s">
        <v>44</v>
      </c>
      <c r="N50" s="23">
        <f>SUM(N22:N49)</f>
        <v>1152000</v>
      </c>
      <c r="O50" s="23"/>
      <c r="R50" s="5"/>
      <c r="S50" s="22" t="s">
        <v>44</v>
      </c>
      <c r="T50" s="23">
        <f>SUM(T22:T49)</f>
        <v>1152000</v>
      </c>
      <c r="U50" s="23"/>
    </row>
    <row r="51" spans="1:23" ht="15.75">
      <c r="C51" s="17"/>
      <c r="D51" s="17"/>
      <c r="E51" s="17"/>
      <c r="F51" s="17"/>
      <c r="G51" s="20" t="s">
        <v>45</v>
      </c>
      <c r="H51" s="10">
        <f>I51</f>
        <v>612168</v>
      </c>
      <c r="I51" s="10">
        <f>SUM(I24:I42)</f>
        <v>612168</v>
      </c>
      <c r="J51" s="10"/>
      <c r="K51" s="10"/>
      <c r="L51" s="10"/>
      <c r="M51" s="22" t="s">
        <v>45</v>
      </c>
      <c r="N51" s="23">
        <f>O51</f>
        <v>612168</v>
      </c>
      <c r="O51" s="23">
        <f>SUM(O24:O42)</f>
        <v>612168</v>
      </c>
      <c r="P51" s="23">
        <f>SUM(P24:P42)</f>
        <v>284500</v>
      </c>
      <c r="Q51" s="23">
        <f>SUM(Q24:Q42)</f>
        <v>280286</v>
      </c>
      <c r="R51" s="1"/>
      <c r="S51" s="22" t="s">
        <v>45</v>
      </c>
      <c r="T51" s="23">
        <f>U51</f>
        <v>612168</v>
      </c>
      <c r="U51" s="23">
        <f>SUM(U24:U42)</f>
        <v>612168</v>
      </c>
      <c r="V51" s="23">
        <f>SUM(V24:V42)</f>
        <v>284500</v>
      </c>
      <c r="W51" s="23">
        <f>SUM(W24:W42)</f>
        <v>280286</v>
      </c>
    </row>
    <row r="52" spans="1:23" ht="15.75">
      <c r="C52" s="17"/>
      <c r="D52" s="17"/>
      <c r="E52" s="17"/>
      <c r="F52" s="17"/>
      <c r="G52" s="20" t="s">
        <v>43</v>
      </c>
      <c r="H52" s="10">
        <f>H51-H50</f>
        <v>-561832</v>
      </c>
      <c r="I52" s="10"/>
      <c r="J52" s="10"/>
      <c r="K52" s="10"/>
      <c r="L52" s="10"/>
      <c r="M52" s="22" t="s">
        <v>43</v>
      </c>
      <c r="N52" s="10">
        <f>N51-N50</f>
        <v>-539832</v>
      </c>
      <c r="O52" s="10"/>
      <c r="S52" s="22" t="s">
        <v>43</v>
      </c>
      <c r="T52" s="10">
        <f>T51-T50</f>
        <v>-539832</v>
      </c>
      <c r="U52" s="10"/>
    </row>
    <row r="53" spans="1:23">
      <c r="C53" s="17"/>
      <c r="D53" s="17"/>
      <c r="E53" s="17"/>
      <c r="F53" s="17"/>
    </row>
    <row r="54" spans="1:23">
      <c r="C54" s="17"/>
      <c r="D54" s="17"/>
      <c r="E54" s="17"/>
      <c r="F54" s="17"/>
    </row>
    <row r="57" spans="1:23" ht="15.75">
      <c r="G57" s="9"/>
      <c r="H57" s="10"/>
    </row>
    <row r="58" spans="1:23">
      <c r="G58" s="14"/>
      <c r="H58" s="11"/>
    </row>
    <row r="59" spans="1:23">
      <c r="G59" s="14"/>
      <c r="H59" s="11"/>
    </row>
    <row r="60" spans="1:23">
      <c r="G60" s="14"/>
      <c r="H60" s="11"/>
    </row>
    <row r="61" spans="1:23">
      <c r="G61" s="14"/>
      <c r="H61" s="11"/>
    </row>
  </sheetData>
  <sortState ref="M20:O47">
    <sortCondition ref="O20:O47"/>
  </sortState>
  <mergeCells count="2">
    <mergeCell ref="H1:J1"/>
    <mergeCell ref="N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flow</vt:lpstr>
      <vt:lpstr>FY 17 plan</vt:lpstr>
      <vt:lpstr>FY 18 plan</vt:lpstr>
      <vt:lpstr>Steve's Cash 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Curley</dc:creator>
  <cp:lastModifiedBy>Windows User</cp:lastModifiedBy>
  <cp:lastPrinted>2017-09-02T17:08:27Z</cp:lastPrinted>
  <dcterms:created xsi:type="dcterms:W3CDTF">2017-01-06T14:16:21Z</dcterms:created>
  <dcterms:modified xsi:type="dcterms:W3CDTF">2017-10-06T11:14:53Z</dcterms:modified>
</cp:coreProperties>
</file>